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fTrTu+Xq4YSzAsFFGqIexeCbGK2pXOwEWxO7Wd4VmiWvIgkP/9kIZZoukPNPP98YNr2C9qw6b4za2dABen5nqw==" workbookSaltValue="+k5/hLt/7CbgyqjsvWYt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EP19" i="8"/>
  <c r="EP19" i="19"/>
  <c r="BH9" i="16"/>
  <c r="BJ17" i="11"/>
  <c r="BG10" i="11"/>
  <c r="BM16" i="11"/>
  <c r="P17" i="17"/>
  <c r="BL17" i="11"/>
  <c r="BK12" i="11"/>
  <c r="BF10" i="11"/>
  <c r="BK9" i="11"/>
  <c r="AT17" i="20"/>
  <c r="AL9" i="11"/>
  <c r="K18" i="2"/>
  <c r="F9" i="2"/>
  <c r="M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B13" i="13"/>
  <c r="BD12" i="8"/>
  <c r="BF9" i="8"/>
  <c r="J18" i="17"/>
  <c r="U9" i="17"/>
  <c r="U19" i="17" s="1"/>
  <c r="L9" i="2"/>
  <c r="BG15" i="13"/>
  <c r="BA18" i="13"/>
  <c r="BE15" i="13"/>
  <c r="AH20" i="20"/>
  <c r="AL20" i="20"/>
  <c r="AB20" i="20"/>
  <c r="AN20" i="20"/>
  <c r="Y20" i="20"/>
  <c r="AO20" i="20"/>
  <c r="U10" i="11"/>
  <c r="AJ19" i="8" l="1"/>
  <c r="C17" i="6"/>
  <c r="R19" i="8"/>
  <c r="T19" i="8"/>
  <c r="BG15" i="8"/>
  <c r="AC10" i="11"/>
  <c r="D10" i="6"/>
  <c r="BE10" i="8"/>
  <c r="H13" i="12"/>
  <c r="H12" i="7"/>
  <c r="E12" i="6"/>
  <c r="AO12" i="11"/>
  <c r="B10" i="6"/>
  <c r="H12" i="2"/>
  <c r="K15" i="7"/>
  <c r="C10" i="6"/>
  <c r="I10" i="12" s="1"/>
  <c r="AO17" i="11"/>
  <c r="L16" i="14"/>
  <c r="L17" i="14"/>
  <c r="T17" i="11"/>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V17" i="16"/>
  <c r="BL12" i="11"/>
  <c r="S17" i="16"/>
  <c r="BF16" i="11"/>
  <c r="BF17" i="11"/>
  <c r="V11" i="16"/>
  <c r="Q17" i="20"/>
  <c r="Q18" i="20" s="1"/>
  <c r="BH15" i="16"/>
  <c r="BH15" i="11"/>
  <c r="V15" i="11"/>
  <c r="AP16" i="20"/>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C13" i="6"/>
  <c r="F13"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<sst xmlns="http://schemas.openxmlformats.org/spreadsheetml/2006/main" count="2088" uniqueCount="917">
  <si>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</si>
  <si>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</si>
  <si>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</si>
  <si>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</si>
  <si>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</si>
  <si>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</si>
  <si>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</si>
  <si>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</si>
  <si>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</si>
  <si>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</si>
  <si>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</si>
  <si>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</si>
  <si>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</si>
  <si>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</si>
  <si>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</si>
  <si>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</si>
  <si>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</si>
  <si>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</si>
  <si>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</si>
  <si>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</si>
  <si>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</si>
  <si>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</si>
  <si>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</si>
  <si>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</si>
  <si>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</si>
  <si>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</si>
  <si>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</si>
  <si>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</si>
  <si>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</si>
  <si>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</si>
  <si>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</si>
  <si>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</si>
  <si>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</si>
  <si>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</si>
  <si>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</si>
  <si>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</si>
  <si>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</si>
  <si>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</si>
  <si>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</si>
  <si>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</si>
  <si>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</si>
  <si>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</si>
  <si>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</si>
  <si>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</si>
  <si>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</si>
  <si>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</si>
  <si>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</si>
  <si>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</si>
  <si>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</si>
  <si>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</si>
  <si>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</si>
  <si>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</si>
  <si>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</si>
  <si>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</si>
  <si>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</si>
  <si>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</si>
  <si>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</si>
  <si>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</si>
  <si>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</si>
  <si>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</si>
  <si>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</si>
  <si>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</si>
  <si>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</si>
  <si>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</si>
  <si>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</si>
  <si>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</si>
  <si>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</si>
  <si>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</si>
  <si>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</si>
  <si>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</si>
  <si>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</si>
  <si>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</si>
  <si>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</si>
  <si>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</si>
  <si>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</si>
  <si>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</si>
  <si>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</si>
  <si>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</si>
  <si>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</si>
  <si>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</si>
  <si>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</si>
  <si>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</si>
  <si>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</si>
  <si>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</si>
  <si>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</si>
  <si>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</si>
  <si>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</si>
  <si>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</si>
  <si>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</si>
  <si>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</si>
  <si>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</si>
  <si>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</si>
  <si>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</si>
  <si>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</si>
  <si>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</si>
  <si>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</si>
  <si>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</si>
  <si>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</si>
  <si>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</si>
  <si>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</si>
  <si>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</si>
  <si>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</si>
  <si>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</si>
  <si>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</si>
  <si>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</si>
  <si>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</si>
  <si>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</si>
  <si>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</si>
  <si>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</si>
  <si>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</si>
  <si>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</si>
  <si>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</si>
  <si>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</si>
  <si>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</si>
  <si>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</si>
  <si>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</si>
  <si>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</si>
  <si>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</si>
  <si>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</si>
  <si>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</si>
  <si>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</si>
  <si>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</si>
  <si>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</si>
  <si>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</si>
  <si>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</si>
  <si>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</si>
  <si>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</si>
  <si>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</si>
  <si>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</si>
  <si>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</si>
  <si>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</si>
  <si>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</si>
  <si>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</si>
  <si>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</si>
  <si>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</si>
  <si>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</si>
  <si>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</si>
  <si>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</si>
  <si>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</si>
  <si>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</si>
  <si>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</si>
  <si>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</si>
  <si>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</si>
  <si>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</si>
  <si>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</si>
  <si>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</si>
  <si>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</si>
  <si>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</si>
  <si>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</si>
  <si>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</si>
  <si>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</si>
  <si>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</si>
  <si>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</si>
  <si>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</si>
  <si>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</si>
  <si>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</si>
  <si>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</si>
  <si>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</si>
  <si>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</si>
  <si>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</si>
  <si>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</si>
  <si>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</si>
  <si>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</si>
  <si>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</si>
  <si>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</si>
  <si>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</si>
  <si>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</si>
  <si>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</si>
  <si>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</si>
  <si>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</si>
  <si>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</si>
  <si>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</si>
  <si>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</si>
  <si>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</si>
  <si>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</si>
  <si>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</si>
  <si>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</si>
  <si>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</si>
  <si>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</si>
  <si>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</si>
  <si>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</si>
  <si>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</si>
  <si>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</si>
  <si>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</si>
  <si>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</si>
  <si>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</si>
  <si>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</si>
  <si>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</si>
  <si>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</si>
  <si>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</si>
  <si>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</si>
  <si>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</si>
  <si>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</si>
  <si>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</si>
  <si>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</si>
  <si>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</si>
  <si>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</si>
  <si>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</si>
  <si>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</si>
  <si>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</si>
  <si>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</si>
  <si>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</si>
  <si>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</si>
  <si>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</si>
  <si>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</si>
  <si>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</si>
  <si>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</si>
  <si>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</si>
  <si>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</si>
  <si>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</si>
  <si>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</si>
  <si>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</si>
  <si>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</si>
  <si>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</si>
  <si>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</si>
  <si>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</si>
  <si>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</si>
  <si>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</si>
  <si>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</si>
  <si>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</si>
  <si>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</si>
  <si>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</si>
  <si>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</si>
  <si>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</si>
  <si>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</si>
  <si>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</si>
  <si>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</si>
  <si>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</si>
  <si>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</si>
  <si>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</si>
  <si>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</si>
  <si>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</si>
  <si>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</si>
  <si>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</si>
  <si>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</si>
  <si>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</si>
  <si>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</si>
  <si>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</si>
  <si>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</si>
  <si>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</si>
  <si>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</si>
  <si>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</si>
  <si>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</si>
  <si>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</si>
  <si>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</si>
  <si>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</si>
  <si>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</si>
  <si>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</si>
  <si>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</si>
  <si>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</si>
  <si>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</si>
  <si>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</si>
  <si>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</si>
  <si>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</si>
  <si>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</si>
  <si>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</si>
  <si>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</si>
  <si>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</si>
  <si>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</si>
  <si>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</si>
  <si>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</si>
  <si>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</si>
  <si>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</si>
  <si>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</si>
  <si>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</si>
  <si>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</si>
  <si>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</si>
  <si>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</si>
  <si>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</si>
  <si>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</si>
  <si>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</si>
  <si>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</si>
  <si>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</si>
  <si>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</si>
  <si>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</si>
  <si>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</si>
  <si>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</si>
  <si>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</si>
  <si>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</si>
  <si>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</si>
  <si>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</si>
  <si>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</si>
  <si>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</si>
  <si>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</si>
  <si>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</si>
  <si>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</si>
  <si>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</si>
  <si>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</si>
  <si>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</si>
  <si>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</si>
  <si>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</si>
  <si>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</si>
  <si>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</si>
  <si>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</si>
  <si>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</si>
  <si>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</si>
  <si>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</si>
  <si>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</si>
  <si>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</si>
  <si>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</si>
  <si>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</si>
  <si>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</si>
  <si>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</si>
  <si>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</si>
  <si>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</si>
  <si>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</si>
  <si>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</si>
  <si>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</si>
  <si>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</si>
  <si>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</si>
  <si>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</si>
  <si>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</si>
  <si>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</si>
  <si>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</si>
  <si>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</si>
  <si>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</si>
  <si>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</si>
  <si>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</si>
  <si>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</si>
  <si>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</si>
  <si>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</si>
  <si>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</si>
  <si>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</si>
  <si>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</si>
  <si>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</si>
  <si>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</si>
  <si>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</si>
  <si>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</si>
  <si>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</si>
  <si>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</si>
  <si>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</si>
  <si>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</si>
  <si>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</si>
  <si>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</si>
  <si>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</si>
  <si>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</si>
  <si>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</si>
  <si>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</si>
  <si>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</si>
  <si>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</si>
  <si>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</si>
  <si>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</si>
  <si>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</si>
  <si>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</si>
  <si>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</si>
  <si>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</si>
  <si>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</si>
  <si>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</si>
  <si>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</si>
  <si>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</si>
  <si>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</si>
  <si>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</si>
  <si>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</si>
  <si>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</si>
  <si>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</si>
  <si>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</si>
  <si>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</si>
  <si>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</si>
  <si>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</si>
  <si>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</si>
  <si>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</si>
  <si>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</si>
  <si>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</si>
  <si>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</si>
  <si>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</si>
  <si>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</si>
  <si>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</si>
  <si>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</si>
  <si>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</si>
  <si>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</si>
  <si>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</si>
  <si>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</si>
  <si>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</si>
  <si>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</si>
  <si>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</si>
  <si>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</si>
  <si>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</si>
  <si>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</si>
  <si>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</si>
  <si>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</si>
  <si>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</si>
  <si>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</si>
  <si>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</si>
  <si>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</si>
  <si>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</si>
  <si>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</si>
  <si>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</si>
  <si>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</si>
  <si>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</si>
  <si>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</si>
  <si>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</si>
  <si>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</si>
  <si>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</si>
  <si>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</si>
  <si>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</si>
  <si>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</si>
  <si>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</si>
  <si>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</si>
  <si>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</si>
  <si>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</si>
  <si>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</si>
  <si>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</si>
  <si>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</si>
  <si>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</si>
  <si>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</si>
  <si>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</si>
  <si>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</si>
  <si>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</si>
  <si>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</si>
  <si>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</si>
  <si>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</si>
  <si>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</si>
  <si>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</si>
  <si>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</si>
  <si>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</si>
  <si>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</si>
  <si>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</si>
  <si>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</si>
  <si>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</si>
  <si>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</si>
  <si>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</si>
  <si>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</si>
  <si>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</si>
  <si>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</si>
  <si>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</si>
  <si>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</si>
  <si>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</si>
  <si>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</si>
  <si>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</si>
  <si>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</si>
  <si>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</si>
  <si>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</si>
  <si>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</si>
  <si>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</si>
  <si>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</si>
  <si>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</si>
  <si>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</si>
  <si>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</si>
  <si>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</si>
  <si>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</si>
  <si>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</si>
  <si>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</si>
  <si>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</si>
  <si>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</si>
  <si>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</si>
  <si>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</si>
  <si>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</si>
  <si>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</si>
  <si>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</si>
  <si>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</si>
  <si>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</si>
  <si>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</si>
  <si>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</si>
  <si>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</si>
  <si>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</si>
  <si>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</si>
  <si>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</si>
  <si>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</si>
  <si>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</si>
  <si>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</si>
  <si>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</si>
  <si>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</si>
  <si>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</si>
  <si>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</si>
  <si>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</si>
  <si>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</si>
  <si>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</si>
  <si>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</si>
  <si>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</si>
  <si>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</si>
  <si>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</si>
  <si>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</si>
  <si>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</si>
  <si>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</si>
  <si>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</si>
  <si>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</si>
  <si>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</si>
  <si>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</si>
  <si>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</si>
  <si>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</si>
  <si>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</si>
  <si>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</si>
  <si>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</si>
  <si>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</si>
  <si>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</si>
  <si>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</si>
  <si>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</si>
  <si>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</si>
  <si>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</si>
  <si>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</si>
  <si>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</si>
  <si>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</si>
  <si>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</si>
  <si>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</si>
  <si>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</si>
  <si>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</si>
  <si>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</si>
  <si>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</si>
  <si>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</si>
  <si>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</si>
  <si>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</si>
  <si>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</si>
  <si>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</si>
  <si>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</si>
  <si>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</si>
  <si>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</si>
  <si>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</si>
  <si>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</si>
  <si>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</si>
  <si>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</si>
  <si>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</si>
  <si>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</si>
  <si>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</si>
  <si>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</si>
  <si>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</si>
  <si>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</si>
  <si>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</si>
  <si>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</si>
  <si>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</si>
  <si>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</si>
  <si>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</si>
  <si>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</si>
  <si>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</si>
  <si>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</si>
  <si>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</si>
  <si>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</si>
  <si>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</si>
  <si>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</si>
  <si>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</si>
  <si>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</si>
  <si>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</si>
  <si>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</si>
  <si>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</si>
  <si>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</si>
  <si>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</si>
  <si>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</si>
  <si>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</si>
  <si>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</si>
  <si>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</si>
  <si>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</si>
  <si>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</si>
  <si>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</si>
  <si>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</si>
  <si>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</si>
  <si>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</si>
  <si>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</si>
  <si>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</si>
  <si>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</si>
  <si>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</si>
  <si>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</si>
  <si>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</si>
  <si>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</si>
  <si>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</si>
  <si>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</si>
  <si>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</si>
  <si>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</si>
  <si>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</si>
  <si>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</si>
  <si>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</si>
  <si>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</si>
  <si>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</si>
  <si>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</si>
  <si>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</si>
  <si>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</si>
  <si>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</si>
  <si>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</si>
  <si>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</si>
  <si>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</si>
  <si>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</si>
  <si>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</si>
  <si>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</si>
  <si>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</si>
  <si>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</si>
  <si>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</si>
  <si>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</si>
  <si>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</si>
  <si>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</si>
  <si>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</si>
  <si>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</si>
  <si>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</si>
  <si>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</si>
  <si>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</si>
  <si>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</si>
  <si>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</si>
  <si>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</si>
  <si>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</si>
  <si>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</si>
  <si>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</si>
  <si>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</si>
  <si>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</si>
  <si>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</si>
  <si>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</si>
  <si>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</si>
  <si>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</si>
  <si>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</si>
  <si>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</si>
  <si>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</si>
  <si>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</si>
  <si>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</si>
  <si>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</si>
  <si>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</si>
  <si>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</si>
  <si>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</si>
  <si>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</si>
  <si>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</si>
  <si>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</si>
  <si>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</si>
  <si>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</si>
  <si>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</si>
  <si>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</si>
  <si>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</si>
  <si>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</si>
  <si>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</si>
  <si>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</si>
  <si>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</si>
  <si>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</si>
  <si>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</si>
  <si>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</si>
  <si>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</si>
  <si>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</si>
  <si>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</si>
  <si>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</si>
  <si>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</si>
  <si>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</si>
  <si>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</si>
  <si>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</si>
  <si>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</si>
  <si>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</si>
  <si>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</si>
  <si>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</si>
  <si>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</si>
  <si>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</si>
  <si>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</si>
  <si>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</si>
  <si>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</si>
  <si>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</si>
  <si>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</si>
  <si>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</si>
  <si>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</si>
  <si>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</si>
  <si>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</si>
  <si>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</si>
  <si>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</si>
  <si>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</si>
  <si>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</si>
  <si>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</si>
  <si>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</si>
  <si>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</si>
  <si>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</si>
  <si>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</si>
  <si>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</si>
  <si>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</si>
  <si>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</si>
  <si>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</si>
  <si>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</si>
  <si>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</si>
  <si>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</si>
  <si>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</si>
  <si>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</si>
  <si>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</si>
  <si>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</si>
  <si>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</si>
  <si>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</si>
  <si>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</si>
  <si>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</si>
  <si>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</si>
  <si>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</si>
  <si>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</si>
  <si>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</si>
  <si>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</si>
  <si>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</si>
  <si>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</si>
  <si>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</si>
  <si>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</si>
  <si>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</si>
  <si>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</si>
  <si>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</si>
  <si>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</si>
  <si>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</si>
  <si>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</si>
  <si>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</si>
  <si>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</si>
  <si>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</si>
  <si>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</si>
  <si>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</si>
  <si>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</si>
  <si>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</si>
  <si>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</si>
  <si>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</si>
  <si>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</si>
  <si>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</si>
  <si>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</si>
  <si>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</si>
  <si>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</si>
  <si>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</si>
  <si>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</si>
  <si>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</si>
  <si>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</si>
  <si>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</si>
  <si>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</si>
  <si>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</si>
  <si>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</si>
  <si>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</si>
  <si>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</si>
  <si>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</si>
  <si>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</si>
  <si>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</si>
  <si>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</si>
  <si>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</si>
  <si>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</si>
  <si>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</si>
  <si>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</si>
  <si>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</si>
  <si>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</si>
  <si>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</si>
  <si>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</si>
  <si>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</si>
  <si>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</si>
  <si>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</si>
  <si>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</si>
  <si>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</si>
  <si>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</si>
  <si>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</si>
  <si>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</si>
  <si>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</si>
  <si>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</si>
  <si>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</si>
  <si>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</si>
  <si>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</si>
  <si>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</si>
  <si>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</si>
  <si>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</si>
  <si>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</si>
  <si>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</si>
  <si>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</si>
  <si>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</si>
  <si>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</si>
  <si>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</si>
  <si>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</si>
  <si>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</si>
  <si>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</si>
  <si>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</si>
  <si>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</si>
  <si>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</si>
  <si>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</si>
  <si>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</si>
  <si>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</si>
  <si>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</si>
  <si>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</si>
  <si>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</si>
  <si>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</si>
  <si>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</si>
  <si>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</si>
  <si>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</si>
  <si>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</si>
  <si>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</si>
  <si>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</si>
  <si>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</si>
  <si>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</si>
  <si>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</si>
  <si>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</si>
  <si>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</si>
  <si>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</si>
  <si>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</si>
  <si>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</si>
  <si>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</si>
  <si>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</si>
  <si>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</si>
  <si>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</si>
  <si>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</si>
  <si>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</si>
  <si>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</si>
  <si>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</si>
  <si>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</si>
  <si>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</si>
  <si>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</si>
  <si>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</si>
  <si>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</si>
  <si>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</si>
  <si>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</si>
  <si>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</si>
  <si>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</si>
  <si>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</si>
  <si>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</si>
  <si>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</si>
  <si>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</si>
  <si>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</si>
  <si>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</si>
  <si>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</si>
  <si>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</si>
  <si>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</si>
  <si>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</si>
  <si>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</si>
  <si>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</si>
  <si>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</si>
  <si>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</si>
  <si>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</si>
  <si>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</si>
  <si>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</si>
  <si>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</si>
  <si>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</si>
  <si>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</si>
  <si>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</si>
  <si>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</si>
  <si>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</si>
  <si>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</si>
  <si>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</si>
  <si>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</si>
  <si>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</si>
  <si>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</si>
  <si>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</si>
  <si>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</si>
  <si>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</si>
  <si>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</si>
  <si>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</si>
  <si>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</si>
  <si>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</si>
  <si>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</si>
  <si>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</si>
  <si>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</si>
  <si>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</si>
  <si>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</si>
  <si>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</si>
  <si>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</si>
  <si>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</si>
  <si>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</si>
  <si>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</si>
  <si>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</si>
  <si>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</si>
  <si>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</si>
  <si>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</si>
  <si>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</si>
  <si>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</si>
  <si>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</si>
  <si>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</si>
  <si>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</si>
  <si>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</si>
  <si>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</si>
  <si>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</si>
  <si>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</si>
  <si>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</si>
  <si>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</si>
  <si>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</si>
  <si>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</si>
  <si>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</si>
  <si>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</si>
  <si>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</si>
  <si>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</si>
  <si>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</si>
  <si>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</si>
  <si>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</si>
  <si>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</si>
  <si>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</si>
  <si>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</si>
  <si>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</si>
  <si>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</si>
  <si>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</si>
  <si>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</si>
  <si>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</si>
  <si>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</si>
  <si>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</si>
  <si>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</si>
  <si>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</si>
  <si>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</si>
  <si>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</si>
  <si>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</si>
  <si>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</si>
  <si>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</si>
  <si>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</si>
  <si>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</si>
  <si>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</si>
  <si>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</si>
  <si>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</si>
  <si>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</si>
  <si>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</si>
  <si>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</si>
  <si>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</si>
  <si>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</si>
  <si>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</si>
  <si>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</si>
  <si>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</si>
  <si>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</si>
  <si>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</si>
  <si>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</si>
  <si>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</si>
  <si>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</si>
  <si>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</si>
  <si>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</si>
  <si>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</si>
  <si>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</si>
  <si>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</si>
  <si>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</si>
  <si>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</si>
  <si>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</si>
  <si>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</si>
  <si>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</si>
  <si>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</si>
  <si>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</si>
  <si>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</si>
  <si>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</si>
  <si>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</si>
  <si>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</si>
  <si>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</si>
  <si>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</si>
  <si>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</si>
  <si>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</si>
  <si>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</si>
  <si>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</si>
  <si>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</si>
  <si>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</si>
  <si>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</si>
  <si>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</si>
  <si>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</si>
  <si>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</si>
  <si>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</si>
  <si>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</si>
  <si>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SABADELL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</si>
</sst>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cJ/frvpKkdfiEgiECJZiBQxPGdtxZzYpjPP+9bA56g/gTVPO4hW5mbAcyXgQupak8Ll2wPFxZFZT5AMC/5ttw==" saltValue="1+WumqPyiAUPnigS2GBb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36.662248995983937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196</v>
      </c>
      <c r="D10" s="225">
        <f>IF(ISNUMBER(Datos!I10),Datos!I10," - ")</f>
        <v>196</v>
      </c>
      <c r="E10" s="226">
        <f>IF(ISNUMBER(Datos!J10),Datos!J10," - ")</f>
        <v>50</v>
      </c>
      <c r="F10" s="226">
        <f>IF(ISNUMBER(Datos!K10),Datos!K10," - ")</f>
        <v>34</v>
      </c>
      <c r="G10" s="1034" t="str">
        <f>IF(Datos!E10&lt;&gt;"",Datos!E10,Datos!D10)</f>
        <v>37</v>
      </c>
      <c r="H10" s="227">
        <f>IF(ISNUMBER(Datos!L10),Datos!L10," - ")</f>
        <v>212</v>
      </c>
      <c r="I10" s="1044" t="str">
        <f>IF(ISNUMBER(Datos!AS10/Datos!BM10),Datos!AS10/Datos!BM10," - ")</f>
        <v xml:space="preserve"> - </v>
      </c>
      <c r="J10" s="1045">
        <f>IF(ISNUMBER(Datos!BY10/Datos!CN10),Datos!BY10/Datos!CN10," - ")</f>
        <v>0</v>
      </c>
      <c r="K10" s="230">
        <f t="shared" ref="K10:K12" si="1">IF(ISNUMBER((E10-F10)/C10),(E10-F10)/C10," - ")</f>
        <v>8.1632653061224483E-2</v>
      </c>
      <c r="L10" s="1025">
        <f>IF(ISNUMBER(NºAsuntos!I10/NºAsuntos!G10),(NºAsuntos!I10/NºAsuntos!G10)*11," - ")</f>
        <v>68.588235294117652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13.122601279317697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196</v>
      </c>
      <c r="D13" s="1049">
        <f>SUBTOTAL(9,D9:D12)</f>
        <v>196</v>
      </c>
      <c r="E13" s="1050">
        <f>SUBTOTAL(9,E9:E12)</f>
        <v>50</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6335</v>
      </c>
      <c r="D15" s="225">
        <f>IF(ISNUMBER(IF(D_I="SI",Datos!I15,Datos!I15+Datos!AC15)),IF(D_I="SI",Datos!I15,Datos!I15+Datos!AC15)," - ")</f>
        <v>6292</v>
      </c>
      <c r="E15" s="226">
        <f>IF(ISNUMBER(IF(D_I="SI",Datos!J15,Datos!J15+Datos!AD15)),IF(D_I="SI",Datos!J15,Datos!J15+Datos!AD15)," - ")</f>
        <v>4314</v>
      </c>
      <c r="F15" s="226">
        <f>IF(ISNUMBER(IF(D_I="SI",Datos!K15,Datos!K15+Datos!AE15)),IF(D_I="SI",Datos!K15,Datos!K15+Datos!AE15)," - ")</f>
        <v>3884</v>
      </c>
      <c r="G15" s="1034" t="str">
        <f>IF(Datos!E15&lt;&gt;"",Datos!E15,Datos!D15)</f>
        <v>03</v>
      </c>
      <c r="H15" s="227">
        <f>IF(ISNUMBER(IF(D_I="SI",Datos!L15,Datos!L15+Datos!AF15)),IF(D_I="SI",Datos!L15,Datos!L15+Datos!AF15)," - ")</f>
        <v>6765</v>
      </c>
      <c r="I15" s="1044" t="str">
        <f>IF(ISNUMBER(Datos!AS15/Datos!BM15),Datos!AS15/Datos!BM15," - ")</f>
        <v xml:space="preserve"> - </v>
      </c>
      <c r="J15" s="1045">
        <f>IF(ISNUMBER(Datos!BY15/Datos!CN15),Datos!BY15/Datos!CN15," - ")</f>
        <v>0</v>
      </c>
      <c r="K15" s="230">
        <f t="shared" ref="K15:K17" si="3">IF(ISNUMBER((E15-F15)/C15),(E15-F15)/C15," - ")</f>
        <v>6.7876874506708762E-2</v>
      </c>
      <c r="L15" s="1025">
        <f>IF(ISNUMBER(NºAsuntos!I15/NºAsuntos!G15),(NºAsuntos!I15/NºAsuntos!G15)*11," - ")</f>
        <v>19.159371781668384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280</v>
      </c>
      <c r="D17" s="225">
        <f>IF(ISNUMBER(IF(D_I="SI",Datos!I17,Datos!I17+Datos!AC17)),IF(D_I="SI",Datos!I17,Datos!I17+Datos!AC17)," - ")</f>
        <v>280</v>
      </c>
      <c r="E17" s="226">
        <f>IF(ISNUMBER(IF(D_I="SI",Datos!J17,Datos!J17+Datos!AD17)),IF(D_I="SI",Datos!J17,Datos!J17+Datos!AD17)," - ")</f>
        <v>321</v>
      </c>
      <c r="F17" s="226">
        <f>IF(ISNUMBER(IF(D_I="SI",Datos!K17,Datos!K17+Datos!AE17)),IF(D_I="SI",Datos!K17,Datos!K17+Datos!AE17)," - ")</f>
        <v>309</v>
      </c>
      <c r="G17" s="1034" t="str">
        <f>IF(Datos!E17&lt;&gt;"",Datos!E17,Datos!D17)</f>
        <v>37</v>
      </c>
      <c r="H17" s="227">
        <f>IF(ISNUMBER(IF(D_I="SI",Datos!L17,Datos!L17+Datos!AF17)),IF(D_I="SI",Datos!L17,Datos!L17+Datos!AF17)," - ")</f>
        <v>292</v>
      </c>
      <c r="I17" s="1044" t="str">
        <f>IF(ISNUMBER(Datos!AS17/Datos!BM17),Datos!AS17/Datos!BM17," - ")</f>
        <v xml:space="preserve"> - </v>
      </c>
      <c r="J17" s="1045" t="str">
        <f>IF(ISNUMBER((Datos!BY17+Datos!BZ17)/Datos!CN17),(Datos!BY17+Datos!BZ17)/Datos!CN17," - ")</f>
        <v xml:space="preserve"> - </v>
      </c>
      <c r="K17" s="230">
        <f t="shared" si="3"/>
        <v>4.2857142857142858E-2</v>
      </c>
      <c r="L17" s="1025">
        <f>IF(ISNUMBER(NºAsuntos!I17/NºAsuntos!G17),(NºAsuntos!I17/NºAsuntos!G17)*11," - ")</f>
        <v>10.394822006472491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6615</v>
      </c>
      <c r="D18" s="1049">
        <f>SUBTOTAL(9,D15:D17)</f>
        <v>6572</v>
      </c>
      <c r="E18" s="1050">
        <f>SUBTOTAL(9,E15:E17)</f>
        <v>4635</v>
      </c>
      <c r="F18" s="1050">
        <f>SUBTOTAL(9,F15:F17)</f>
        <v>4193</v>
      </c>
      <c r="G18" s="1052" t="str">
        <f ca="1">INDIRECT(CONCATENATE("G",ROW()-1))</f>
        <v>37</v>
      </c>
      <c r="H18" s="1053">
        <f ca="1">SUMIF(G$14:G17,G18,H$14:H17)</f>
        <v>292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6811</v>
      </c>
      <c r="D19" s="1071">
        <f>SUBTOTAL(9,D9:D18)</f>
        <v>6768</v>
      </c>
      <c r="E19" s="1072">
        <f>SUBTOTAL(9,E9:E18)</f>
        <v>4685</v>
      </c>
      <c r="F19" s="1072">
        <f>SUBTOTAL(9,F9:F18)</f>
        <v>4227</v>
      </c>
      <c r="G19" s="1073"/>
      <c r="H19" s="1074">
        <f ca="1">SUMIF(B9:B18,"TOTAL",H9:H18)</f>
        <v>292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brgMBoZJwDjTiii9mgpffW28esXvypmem/WetRTeDSHgigBjLI8W9bbWFnvzPVXf+36CSY80p2tA+G7uhw6ew==" saltValue="DOxjYPXGswEfQ8wZLaai+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jFYKdT+OZUJO4eY7XErzXqscrmsCrSbpwRWEo63i6VedleCf28OyPnweTAIb7DcVIBV1aT9A2m4H2MCi0TPnA==" saltValue="l8N/q9DtZOuOfAxf1vwT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14803</v>
      </c>
      <c r="J9" s="181">
        <v>6511</v>
      </c>
      <c r="K9" s="181">
        <v>4884</v>
      </c>
      <c r="L9" s="181">
        <v>16430</v>
      </c>
      <c r="M9" s="181">
        <v>989</v>
      </c>
      <c r="N9" s="181">
        <v>2147</v>
      </c>
      <c r="O9" s="181">
        <v>2020</v>
      </c>
      <c r="P9" s="181">
        <v>933</v>
      </c>
      <c r="Q9" s="181">
        <v>1498</v>
      </c>
      <c r="R9" s="181">
        <v>16069</v>
      </c>
      <c r="S9" s="181">
        <v>15546</v>
      </c>
      <c r="T9" s="181">
        <v>4340</v>
      </c>
      <c r="U9" s="181">
        <v>4292</v>
      </c>
      <c r="V9" s="181">
        <v>15592</v>
      </c>
      <c r="W9" s="181">
        <v>810</v>
      </c>
      <c r="X9" s="188">
        <v>1942</v>
      </c>
      <c r="Y9" s="191">
        <v>178</v>
      </c>
      <c r="Z9" s="181">
        <v>86</v>
      </c>
      <c r="AA9" s="181">
        <v>96</v>
      </c>
      <c r="AB9" s="181">
        <v>168</v>
      </c>
      <c r="AC9" s="181">
        <v>0</v>
      </c>
      <c r="AD9" s="181">
        <v>0</v>
      </c>
      <c r="AE9" s="181">
        <v>0</v>
      </c>
      <c r="AF9" s="188">
        <v>0</v>
      </c>
      <c r="AG9" s="191">
        <v>453</v>
      </c>
      <c r="AH9" s="181">
        <v>186</v>
      </c>
      <c r="AI9" s="181">
        <v>278</v>
      </c>
      <c r="AJ9" s="192">
        <v>361</v>
      </c>
      <c r="AK9" s="180">
        <v>0</v>
      </c>
      <c r="AL9" s="181">
        <v>0</v>
      </c>
      <c r="AM9" s="181">
        <v>0</v>
      </c>
      <c r="AN9" s="188">
        <v>0</v>
      </c>
      <c r="AO9" s="258">
        <v>8</v>
      </c>
      <c r="AP9" s="154">
        <v>8</v>
      </c>
      <c r="AQ9" s="154">
        <v>8</v>
      </c>
      <c r="AR9" s="193">
        <v>8</v>
      </c>
      <c r="AS9" s="338" t="s">
        <v>798</v>
      </c>
      <c r="AT9" s="195"/>
      <c r="AU9" s="194"/>
      <c r="AV9" s="195"/>
      <c r="AW9" s="194"/>
      <c r="AX9" s="195"/>
      <c r="AY9" s="123">
        <f>IF(ISNUMBER(IF(J_V="SI",S9,S9+AG9)),IF(J_V="SI",S9,S9+AG9)," - ")</f>
        <v>15999</v>
      </c>
      <c r="AZ9" s="123">
        <f>IF(ISNUMBER(IF(J_V="SI",T9,T9+AH9)),IF(J_V="SI",T9,T9+AH9)," - ")</f>
        <v>4526</v>
      </c>
      <c r="BA9" s="124">
        <f>IF(ISNUMBER(IF(J_V="SI",U9,U9+AI9)),IF(J_V="SI",U9,U9+AI9)," - ")</f>
        <v>4570</v>
      </c>
      <c r="BB9" s="124">
        <f>IF(ISNUMBER(IF(J_V="SI",V9,V9+AJ9)),IF(J_V="SI",V9,V9+AJ9)," - ")</f>
        <v>15953</v>
      </c>
      <c r="BC9" s="125">
        <f>IF(ISNUMBER(X9),X9," - ")</f>
        <v>1942</v>
      </c>
      <c r="BD9" s="126">
        <f>IF(ISNUMBER(BA9/AZ9),BA9/AZ9," - ")</f>
        <v>1.0097216084843128</v>
      </c>
      <c r="BE9" s="127">
        <f>IF(ISNUMBER(BB9/BA9),BB9/BA9, " - ")</f>
        <v>3.4908096280087526</v>
      </c>
      <c r="BF9" s="127">
        <f>IF(ISNUMBER(BC9/BA9),BC9/BA9, " - ")</f>
        <v>0.42494529540481402</v>
      </c>
      <c r="BG9" s="196">
        <f>IF(ISNUMBER((AY9+AZ9)/BA9),(AY9+AZ9)/BA9," - ")</f>
        <v>4.4912472647702408</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196</v>
      </c>
      <c r="J10" s="181">
        <v>50</v>
      </c>
      <c r="K10" s="181">
        <v>34</v>
      </c>
      <c r="L10" s="181">
        <v>212</v>
      </c>
      <c r="M10" s="181">
        <v>16</v>
      </c>
      <c r="N10" s="181">
        <v>5</v>
      </c>
      <c r="O10" s="181">
        <v>10</v>
      </c>
      <c r="P10" s="181">
        <v>0</v>
      </c>
      <c r="Q10" s="181">
        <v>2</v>
      </c>
      <c r="R10" s="181">
        <v>162</v>
      </c>
      <c r="S10" s="181">
        <v>135</v>
      </c>
      <c r="T10" s="181">
        <v>59</v>
      </c>
      <c r="U10" s="181">
        <v>55</v>
      </c>
      <c r="V10" s="181">
        <v>139</v>
      </c>
      <c r="W10" s="181">
        <v>22</v>
      </c>
      <c r="X10" s="188">
        <v>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135</v>
      </c>
      <c r="AZ10" s="129">
        <f t="shared" si="0"/>
        <v>59</v>
      </c>
      <c r="BA10" s="129">
        <f t="shared" si="0"/>
        <v>55</v>
      </c>
      <c r="BB10" s="129">
        <f t="shared" si="0"/>
        <v>139</v>
      </c>
      <c r="BC10" s="125">
        <f t="shared" si="0"/>
        <v>22</v>
      </c>
      <c r="BD10" s="126">
        <f>IF(ISNUMBER(BA10/AZ10),BA10/AZ10," - ")</f>
        <v>0.93220338983050843</v>
      </c>
      <c r="BE10" s="127">
        <f>IF(ISNUMBER(BB10/BA10),BB10/BA10, " - ")</f>
        <v>2.5272727272727273</v>
      </c>
      <c r="BF10" s="127">
        <f>IF(ISNUMBER(BC10/BA10),BC10/BA10, " - ")</f>
        <v>0.4</v>
      </c>
      <c r="BG10" s="196">
        <f>IF(ISNUMBER((AY10+AZ10)/BA10),(AY10+AZ10)/BA10," - ")</f>
        <v>3.5272727272727273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1211</v>
      </c>
      <c r="J11" s="183">
        <v>572</v>
      </c>
      <c r="K11" s="183">
        <v>726</v>
      </c>
      <c r="L11" s="183">
        <v>1053</v>
      </c>
      <c r="M11" s="183">
        <v>281</v>
      </c>
      <c r="N11" s="183">
        <v>504</v>
      </c>
      <c r="O11" s="181">
        <v>234</v>
      </c>
      <c r="P11" s="183">
        <v>71</v>
      </c>
      <c r="Q11" s="183">
        <v>50</v>
      </c>
      <c r="R11" s="183">
        <v>870</v>
      </c>
      <c r="S11" s="183">
        <v>1157</v>
      </c>
      <c r="T11" s="183">
        <v>571</v>
      </c>
      <c r="U11" s="183">
        <v>624</v>
      </c>
      <c r="V11" s="183">
        <v>1049</v>
      </c>
      <c r="W11" s="183">
        <v>294</v>
      </c>
      <c r="X11" s="189">
        <v>454</v>
      </c>
      <c r="Y11" s="191">
        <v>48</v>
      </c>
      <c r="Z11" s="181">
        <v>216</v>
      </c>
      <c r="AA11" s="181">
        <v>212</v>
      </c>
      <c r="AB11" s="181">
        <v>66</v>
      </c>
      <c r="AC11" s="183">
        <v>0</v>
      </c>
      <c r="AD11" s="183">
        <v>0</v>
      </c>
      <c r="AE11" s="183">
        <v>0</v>
      </c>
      <c r="AF11" s="189">
        <v>0</v>
      </c>
      <c r="AG11" s="202">
        <v>48</v>
      </c>
      <c r="AH11" s="183">
        <v>329</v>
      </c>
      <c r="AI11" s="183">
        <v>293</v>
      </c>
      <c r="AJ11" s="203">
        <v>84</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1205</v>
      </c>
      <c r="AZ11" s="127">
        <f t="shared" si="1"/>
        <v>900</v>
      </c>
      <c r="BA11" s="127">
        <f t="shared" si="1"/>
        <v>917</v>
      </c>
      <c r="BB11" s="127">
        <f t="shared" si="1"/>
        <v>1133</v>
      </c>
      <c r="BC11" s="125">
        <f>IF(ISNUMBER(X11),X11," - ")</f>
        <v>454</v>
      </c>
      <c r="BD11" s="126">
        <f t="shared" ref="BD11:BD12" si="2">IF(ISNUMBER(BA11/AZ11),BA11/AZ11," - ")</f>
        <v>1.018888888888889</v>
      </c>
      <c r="BE11" s="127">
        <f t="shared" ref="BE11:BE12" si="3">IF(ISNUMBER(BB11/BA11),BB11/BA11, " - ")</f>
        <v>1.2355507088331517</v>
      </c>
      <c r="BF11" s="127">
        <f t="shared" ref="BF11:BF12" si="4">IF(ISNUMBER(BC11/BA11),BC11/BA11, " - ")</f>
        <v>0.49509269356597602</v>
      </c>
      <c r="BG11" s="196">
        <f t="shared" ref="BG11:BG12" si="5">IF(ISNUMBER((AY11+AZ11)/BA11),(AY11+AZ11)/BA11," - ")</f>
        <v>2.2955288985823339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16210</v>
      </c>
      <c r="J13" s="184">
        <f t="shared" si="6"/>
        <v>7133</v>
      </c>
      <c r="K13" s="184">
        <f t="shared" si="6"/>
        <v>5644</v>
      </c>
      <c r="L13" s="184">
        <f t="shared" si="6"/>
        <v>17695</v>
      </c>
      <c r="M13" s="184">
        <f t="shared" si="6"/>
        <v>1286</v>
      </c>
      <c r="N13" s="184">
        <f t="shared" si="6"/>
        <v>2656</v>
      </c>
      <c r="O13" s="184">
        <f t="shared" si="6"/>
        <v>2264</v>
      </c>
      <c r="P13" s="184">
        <f t="shared" si="6"/>
        <v>1004</v>
      </c>
      <c r="Q13" s="184">
        <f t="shared" si="6"/>
        <v>1550</v>
      </c>
      <c r="R13" s="184">
        <f t="shared" si="6"/>
        <v>17101</v>
      </c>
      <c r="S13" s="184">
        <f t="shared" si="6"/>
        <v>16838</v>
      </c>
      <c r="T13" s="184">
        <f t="shared" si="6"/>
        <v>4970</v>
      </c>
      <c r="U13" s="184">
        <f t="shared" si="6"/>
        <v>4971</v>
      </c>
      <c r="V13" s="184">
        <f t="shared" si="6"/>
        <v>16780</v>
      </c>
      <c r="W13" s="184">
        <f t="shared" si="6"/>
        <v>1126</v>
      </c>
      <c r="X13" s="184">
        <f t="shared" si="6"/>
        <v>2418</v>
      </c>
      <c r="Y13" s="184">
        <f t="shared" si="6"/>
        <v>226</v>
      </c>
      <c r="Z13" s="184">
        <f t="shared" si="6"/>
        <v>302</v>
      </c>
      <c r="AA13" s="184">
        <f t="shared" si="6"/>
        <v>308</v>
      </c>
      <c r="AB13" s="184">
        <f t="shared" si="6"/>
        <v>234</v>
      </c>
      <c r="AC13" s="184">
        <f t="shared" si="6"/>
        <v>0</v>
      </c>
      <c r="AD13" s="184">
        <f t="shared" si="6"/>
        <v>0</v>
      </c>
      <c r="AE13" s="184">
        <f t="shared" si="6"/>
        <v>0</v>
      </c>
      <c r="AF13" s="184">
        <f>SUBTOTAL(9,AF9:AF12)</f>
        <v>0</v>
      </c>
      <c r="AG13" s="184">
        <f t="shared" ref="AG13:AT13" si="7">SUBTOTAL(9,AG8:AG12)</f>
        <v>501</v>
      </c>
      <c r="AH13" s="184">
        <f t="shared" si="7"/>
        <v>515</v>
      </c>
      <c r="AI13" s="184">
        <f t="shared" si="7"/>
        <v>571</v>
      </c>
      <c r="AJ13" s="184">
        <f t="shared" si="7"/>
        <v>445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17339</v>
      </c>
      <c r="AZ13" s="184">
        <f>SUBTOTAL(9,AZ8:AZ12)</f>
        <v>5485</v>
      </c>
      <c r="BA13" s="184">
        <f>SUBTOTAL(9,BA8:BA12)</f>
        <v>5542</v>
      </c>
      <c r="BB13" s="184">
        <f>SUBTOTAL(9,BB8:BB12)</f>
        <v>17225</v>
      </c>
      <c r="BC13" s="184">
        <f>SUBTOTAL(9,BC8:BC12)</f>
        <v>2418</v>
      </c>
      <c r="BD13" s="205">
        <f>IF(ISNUMBER(BA13/AZ13),BA13/AZ13," - ")</f>
        <v>1.0103919781221513</v>
      </c>
      <c r="BE13" s="206">
        <f>IF(ISNUMBER(BB13/BA13),BB13/BA13, " - ")</f>
        <v>3.108083724287261</v>
      </c>
      <c r="BF13" s="206">
        <f>IF(ISNUMBER(BC13/BA13),BC13/BA13, " - ")</f>
        <v>0.43630458318296644</v>
      </c>
      <c r="BG13" s="207">
        <f>IF(ISNUMBER((AY13+AZ13)/BA13),(AY13+AZ13)/BA13," - ")</f>
        <v>4.1183688199206063</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6292</v>
      </c>
      <c r="J15" s="183">
        <v>4314</v>
      </c>
      <c r="K15" s="183">
        <v>3884</v>
      </c>
      <c r="L15" s="183">
        <v>6765</v>
      </c>
      <c r="M15" s="183">
        <v>471</v>
      </c>
      <c r="N15" s="183">
        <v>2372</v>
      </c>
      <c r="O15" s="181">
        <v>78</v>
      </c>
      <c r="P15" s="183">
        <v>166</v>
      </c>
      <c r="Q15" s="183">
        <v>179</v>
      </c>
      <c r="R15" s="183">
        <v>734</v>
      </c>
      <c r="S15" s="183">
        <v>6299</v>
      </c>
      <c r="T15" s="183">
        <v>3825</v>
      </c>
      <c r="U15" s="183">
        <v>3728</v>
      </c>
      <c r="V15" s="183">
        <v>6442</v>
      </c>
      <c r="W15" s="183">
        <v>486</v>
      </c>
      <c r="X15" s="189">
        <v>2385</v>
      </c>
      <c r="Y15" s="202">
        <v>0</v>
      </c>
      <c r="Z15" s="183">
        <v>0</v>
      </c>
      <c r="AA15" s="183">
        <v>0</v>
      </c>
      <c r="AB15" s="183">
        <v>0</v>
      </c>
      <c r="AC15" s="183">
        <v>0</v>
      </c>
      <c r="AD15" s="183">
        <v>151</v>
      </c>
      <c r="AE15" s="183">
        <v>127</v>
      </c>
      <c r="AF15" s="189">
        <v>24</v>
      </c>
      <c r="AG15" s="202">
        <v>0</v>
      </c>
      <c r="AH15" s="183">
        <v>0</v>
      </c>
      <c r="AI15" s="183">
        <v>0</v>
      </c>
      <c r="AJ15" s="203">
        <v>0</v>
      </c>
      <c r="AK15" s="182">
        <v>4</v>
      </c>
      <c r="AL15" s="183">
        <v>74</v>
      </c>
      <c r="AM15" s="183">
        <v>67</v>
      </c>
      <c r="AN15" s="189">
        <v>11</v>
      </c>
      <c r="AO15" s="259">
        <v>5</v>
      </c>
      <c r="AP15" s="155">
        <v>5</v>
      </c>
      <c r="AQ15" s="155">
        <v>5</v>
      </c>
      <c r="AR15" s="155">
        <v>5</v>
      </c>
      <c r="AS15" s="340" t="s">
        <v>526</v>
      </c>
      <c r="AT15" s="203" t="s">
        <v>326</v>
      </c>
      <c r="AU15" s="202"/>
      <c r="AV15" s="203"/>
      <c r="AW15" s="202"/>
      <c r="AX15" s="203"/>
      <c r="AY15" s="128">
        <f t="shared" ref="AY15:BB16" si="9">IF(ISNUMBER(IF(D_I="SI",S15,S15+AK15)),IF(D_I="SI",S15,S15+AK15)," - ")</f>
        <v>6299</v>
      </c>
      <c r="AZ15" s="129">
        <f t="shared" si="9"/>
        <v>3825</v>
      </c>
      <c r="BA15" s="129">
        <f t="shared" si="9"/>
        <v>3728</v>
      </c>
      <c r="BB15" s="129">
        <f t="shared" si="9"/>
        <v>6442</v>
      </c>
      <c r="BC15" s="125">
        <f>IF(ISNUMBER(W15),W15," - ")</f>
        <v>486</v>
      </c>
      <c r="BD15" s="126">
        <f>IF(ISNUMBER(BA15/AZ15),BA15/AZ15," - ")</f>
        <v>0.97464052287581704</v>
      </c>
      <c r="BE15" s="127">
        <f>IF(ISNUMBER(BB15/BA15),BB15/BA15, " - ")</f>
        <v>1.7280042918454936</v>
      </c>
      <c r="BF15" s="127">
        <f>IF(ISNUMBER(BC15/BA15),BC15/BA15, " - ")</f>
        <v>0.13036480686695279</v>
      </c>
      <c r="BG15" s="196">
        <f t="shared" ref="BG15:BG16" si="10">IF(ISNUMBER((AY15+AZ15)/BA15),(AY15+AZ15)/BA15," - ")</f>
        <v>2.7156652360515023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280</v>
      </c>
      <c r="J17" s="183">
        <v>321</v>
      </c>
      <c r="K17" s="183">
        <v>309</v>
      </c>
      <c r="L17" s="183">
        <v>292</v>
      </c>
      <c r="M17" s="183">
        <v>39</v>
      </c>
      <c r="N17" s="183">
        <v>159</v>
      </c>
      <c r="O17" s="183">
        <v>0</v>
      </c>
      <c r="P17" s="183">
        <v>4</v>
      </c>
      <c r="Q17" s="183">
        <v>0</v>
      </c>
      <c r="R17" s="183">
        <v>19</v>
      </c>
      <c r="S17" s="183">
        <v>242</v>
      </c>
      <c r="T17" s="183">
        <v>287</v>
      </c>
      <c r="U17" s="183">
        <v>301</v>
      </c>
      <c r="V17" s="183">
        <v>228</v>
      </c>
      <c r="W17" s="183">
        <v>24</v>
      </c>
      <c r="X17" s="189">
        <v>106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242</v>
      </c>
      <c r="AZ17" s="129">
        <f t="shared" si="14"/>
        <v>287</v>
      </c>
      <c r="BA17" s="129">
        <f t="shared" si="14"/>
        <v>301</v>
      </c>
      <c r="BB17" s="129">
        <f t="shared" si="14"/>
        <v>228</v>
      </c>
      <c r="BC17" s="125">
        <f>IF(ISNUMBER(W17),W17," - ")</f>
        <v>24</v>
      </c>
      <c r="BD17" s="126">
        <f>IF(ISNUMBER(BA17/AZ17),BA17/AZ17," - ")</f>
        <v>1.0487804878048781</v>
      </c>
      <c r="BE17" s="127">
        <f>IF(ISNUMBER(BB17/BA17),BB17/BA17, " - ")</f>
        <v>0.75747508305647837</v>
      </c>
      <c r="BF17" s="127">
        <f>IF(ISNUMBER(BC17/BA17),BC17/BA17, " - ")</f>
        <v>7.9734219269102985E-2</v>
      </c>
      <c r="BG17" s="196">
        <f>IF(ISNUMBER((AY17+AZ17)/BA17),(AY17+AZ17)/BA17," - ")</f>
        <v>1.7574750830564785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6572</v>
      </c>
      <c r="J18" s="184">
        <f t="shared" si="15"/>
        <v>4635</v>
      </c>
      <c r="K18" s="184">
        <f t="shared" si="15"/>
        <v>4193</v>
      </c>
      <c r="L18" s="184">
        <f t="shared" si="15"/>
        <v>7057</v>
      </c>
      <c r="M18" s="184">
        <f t="shared" si="15"/>
        <v>510</v>
      </c>
      <c r="N18" s="184">
        <f t="shared" si="15"/>
        <v>2531</v>
      </c>
      <c r="O18" s="184">
        <f t="shared" si="15"/>
        <v>78</v>
      </c>
      <c r="P18" s="184">
        <f t="shared" si="15"/>
        <v>170</v>
      </c>
      <c r="Q18" s="184">
        <f t="shared" si="15"/>
        <v>179</v>
      </c>
      <c r="R18" s="184">
        <f t="shared" si="15"/>
        <v>753</v>
      </c>
      <c r="S18" s="184">
        <f t="shared" si="15"/>
        <v>6541</v>
      </c>
      <c r="T18" s="184">
        <f t="shared" si="15"/>
        <v>4112</v>
      </c>
      <c r="U18" s="184">
        <f t="shared" si="15"/>
        <v>4029</v>
      </c>
      <c r="V18" s="184">
        <f t="shared" si="15"/>
        <v>6670</v>
      </c>
      <c r="W18" s="184">
        <f t="shared" si="15"/>
        <v>510</v>
      </c>
      <c r="X18" s="184">
        <f t="shared" si="15"/>
        <v>2491</v>
      </c>
      <c r="Y18" s="184">
        <f t="shared" si="15"/>
        <v>0</v>
      </c>
      <c r="Z18" s="184">
        <f t="shared" si="15"/>
        <v>0</v>
      </c>
      <c r="AA18" s="184">
        <f t="shared" si="15"/>
        <v>0</v>
      </c>
      <c r="AB18" s="184">
        <f t="shared" si="15"/>
        <v>0</v>
      </c>
      <c r="AC18" s="184">
        <f t="shared" si="15"/>
        <v>0</v>
      </c>
      <c r="AD18" s="184">
        <f t="shared" si="15"/>
        <v>151</v>
      </c>
      <c r="AE18" s="184">
        <f t="shared" si="15"/>
        <v>127</v>
      </c>
      <c r="AF18" s="184">
        <f t="shared" si="15"/>
        <v>24</v>
      </c>
      <c r="AG18" s="184">
        <f t="shared" si="15"/>
        <v>0</v>
      </c>
      <c r="AH18" s="184">
        <f t="shared" si="15"/>
        <v>0</v>
      </c>
      <c r="AI18" s="184">
        <f t="shared" si="15"/>
        <v>0</v>
      </c>
      <c r="AJ18" s="184">
        <f t="shared" si="15"/>
        <v>0</v>
      </c>
      <c r="AK18" s="184">
        <f t="shared" si="15"/>
        <v>4</v>
      </c>
      <c r="AL18" s="184">
        <f t="shared" si="15"/>
        <v>74</v>
      </c>
      <c r="AM18" s="184">
        <f t="shared" si="15"/>
        <v>67</v>
      </c>
      <c r="AN18" s="184">
        <f t="shared" si="15"/>
        <v>11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6541</v>
      </c>
      <c r="AZ18" s="184">
        <f>SUBTOTAL(9,AZ14:AZ17)</f>
        <v>4112</v>
      </c>
      <c r="BA18" s="184">
        <f>SUBTOTAL(9,BA14:BA17)</f>
        <v>4029</v>
      </c>
      <c r="BB18" s="184">
        <f>SUBTOTAL(9,BB14:BB17)</f>
        <v>6670</v>
      </c>
      <c r="BC18" s="184">
        <f>SUBTOTAL(9,BC14:BC17)</f>
        <v>510</v>
      </c>
      <c r="BD18" s="205">
        <f>IF(ISNUMBER(BA18/AZ18),BA18/AZ18," - ")</f>
        <v>0.97981517509727623</v>
      </c>
      <c r="BE18" s="206">
        <f>IF(ISNUMBER(BB18/BA18),BB18/BA18, " - ")</f>
        <v>1.6554976420948126</v>
      </c>
      <c r="BF18" s="206">
        <f>IF(ISNUMBER(BC18/BA18),BC18/BA18, " - ")</f>
        <v>0.12658227848101267</v>
      </c>
      <c r="BG18" s="207">
        <f>IF(ISNUMBER((AY18+AZ18)/BA18),(AY18+AZ18)/BA18," - ")</f>
        <v>2.6440804169769172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22782</v>
      </c>
      <c r="J19" s="134">
        <f t="shared" si="18"/>
        <v>11768</v>
      </c>
      <c r="K19" s="134">
        <f t="shared" si="18"/>
        <v>9837</v>
      </c>
      <c r="L19" s="134">
        <f t="shared" si="18"/>
        <v>24752</v>
      </c>
      <c r="M19" s="134">
        <f t="shared" si="18"/>
        <v>1796</v>
      </c>
      <c r="N19" s="134">
        <f t="shared" si="18"/>
        <v>5187</v>
      </c>
      <c r="O19" s="134">
        <f t="shared" si="18"/>
        <v>2342</v>
      </c>
      <c r="P19" s="134">
        <f t="shared" si="18"/>
        <v>1174</v>
      </c>
      <c r="Q19" s="134">
        <f t="shared" si="18"/>
        <v>1729</v>
      </c>
      <c r="R19" s="134">
        <f t="shared" si="18"/>
        <v>17854</v>
      </c>
      <c r="S19" s="134">
        <f t="shared" si="18"/>
        <v>23379</v>
      </c>
      <c r="T19" s="134">
        <f t="shared" si="18"/>
        <v>9082</v>
      </c>
      <c r="U19" s="134">
        <f t="shared" si="18"/>
        <v>9000</v>
      </c>
      <c r="V19" s="134">
        <f t="shared" si="18"/>
        <v>23450</v>
      </c>
      <c r="W19" s="134">
        <f t="shared" si="18"/>
        <v>1636</v>
      </c>
      <c r="X19" s="134">
        <f t="shared" si="18"/>
        <v>4909</v>
      </c>
      <c r="Y19" s="134">
        <f t="shared" si="18"/>
        <v>226</v>
      </c>
      <c r="Z19" s="134">
        <f t="shared" si="18"/>
        <v>302</v>
      </c>
      <c r="AA19" s="134">
        <f t="shared" si="18"/>
        <v>308</v>
      </c>
      <c r="AB19" s="134">
        <f t="shared" si="18"/>
        <v>234</v>
      </c>
      <c r="AC19" s="134">
        <f t="shared" si="18"/>
        <v>0</v>
      </c>
      <c r="AD19" s="134">
        <f t="shared" si="18"/>
        <v>151</v>
      </c>
      <c r="AE19" s="134">
        <f t="shared" si="18"/>
        <v>127</v>
      </c>
      <c r="AF19" s="134">
        <f t="shared" si="18"/>
        <v>24</v>
      </c>
      <c r="AG19" s="134">
        <f t="shared" si="18"/>
        <v>501</v>
      </c>
      <c r="AH19" s="134">
        <f t="shared" si="18"/>
        <v>515</v>
      </c>
      <c r="AI19" s="134">
        <f t="shared" si="18"/>
        <v>571</v>
      </c>
      <c r="AJ19" s="134">
        <f t="shared" si="18"/>
        <v>445</v>
      </c>
      <c r="AK19" s="134">
        <f t="shared" si="18"/>
        <v>4</v>
      </c>
      <c r="AL19" s="134">
        <f t="shared" si="18"/>
        <v>74</v>
      </c>
      <c r="AM19" s="134">
        <f t="shared" si="18"/>
        <v>67</v>
      </c>
      <c r="AN19" s="210">
        <f t="shared" si="18"/>
        <v>11</v>
      </c>
      <c r="AO19" s="211">
        <v>16</v>
      </c>
      <c r="AP19" s="211">
        <v>16</v>
      </c>
      <c r="AQ19" s="211">
        <v>16</v>
      </c>
      <c r="AR19" s="211">
        <v>16</v>
      </c>
      <c r="AS19" s="153">
        <f t="shared" si="18"/>
        <v>0</v>
      </c>
      <c r="AT19" s="153">
        <f t="shared" si="18"/>
        <v>0</v>
      </c>
      <c r="AU19" s="211"/>
      <c r="AV19" s="212"/>
      <c r="AW19" s="211"/>
      <c r="AX19" s="212"/>
      <c r="AY19" s="133">
        <f>SUBTOTAL(9,AY9:AY18)</f>
        <v>23880</v>
      </c>
      <c r="AZ19" s="134">
        <f>SUBTOTAL(9,AZ9:AZ18)</f>
        <v>9597</v>
      </c>
      <c r="BA19" s="134">
        <f>SUBTOTAL(9,BA9:BA18)</f>
        <v>9571</v>
      </c>
      <c r="BB19" s="134">
        <f>SUBTOTAL(9,BB9:BB18)</f>
        <v>23895</v>
      </c>
      <c r="BC19" s="135">
        <f>SUBTOTAL(9,BC9:BC18)</f>
        <v>2928</v>
      </c>
      <c r="BD19" s="213">
        <f>IF(ISNUMBER(BA19/AZ19),BA19/AZ19," - ")</f>
        <v>0.99729082004793168</v>
      </c>
      <c r="BE19" s="210">
        <f>IF(ISNUMBER(BB19/BA19),BB19/BA19, " - ")</f>
        <v>2.4966043255668162</v>
      </c>
      <c r="BF19" s="210">
        <f>IF(ISNUMBER(BC19/BA19),BC19/BA19, " - ")</f>
        <v>0.30592414585727717</v>
      </c>
      <c r="BG19" s="135">
        <f>IF(ISNUMBER((AY19+AZ19)/BA19),(AY19+AZ19)/BA19," - ")</f>
        <v>3.4977536307595862</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rM54j4Vhwe9q+WNqeVUlKByoFBKqFySS+cPIzrvCEzumjoc6FPHq493qE1YdRY0jkX8cYGSipcOzz7z0eS9dg==" saltValue="aYKuFzUyB4b5a99bJO4V5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zhJ0TV7msPVlt+fd6YE8LS0XUOoLpXUw5g57FzeXSFKtkdhqK5oP88ys6HVEt/7yaxZd1V2a4lgh3YZufT7w==" saltValue="PAHMOCk3oXpEDLrixl9c9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86</v>
      </c>
      <c r="O9" s="334"/>
      <c r="P9" s="334"/>
      <c r="Q9" s="226">
        <f>IF(ISNUMBER(Datos!P9),Datos!P9,0)</f>
        <v>933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1498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168</v>
      </c>
      <c r="AI9" s="334" t="str">
        <f>IF(ISNUMBER(Datos!CD9),Datos!CD9,"-")</f>
        <v>-</v>
      </c>
      <c r="AJ9" s="334" t="str">
        <f>IF(ISNUMBER(Datos!EN9),Datos!EN9," - ")</f>
        <v xml:space="preserve"> - </v>
      </c>
      <c r="AK9" s="334"/>
      <c r="AL9" s="479"/>
      <c r="AM9" s="335">
        <f>IF(ISNUMBER(Datos!R9),Datos!R9," - ")</f>
        <v>16069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989</v>
      </c>
      <c r="BD9" s="229">
        <f>IF(ISNUMBER(Datos!N9),Datos!N9," - ")</f>
        <v>2147</v>
      </c>
      <c r="BE9" s="229" t="str">
        <f>IF(ISNUMBER(Datos!BW9),Datos!BW9," - ")</f>
        <v xml:space="preserve"> - </v>
      </c>
      <c r="BF9" s="228" t="str">
        <f>IF(ISNUMBER(Datos!BX9),Datos!BX9," - ")</f>
        <v xml:space="preserve"> - </v>
      </c>
      <c r="BG9" s="243">
        <f>IF(ISNUMBER(IF(J_V="SI",Datos!K9/Datos!J9,(Datos!K9+Datos!AA9)/(Datos!J9+Datos!Z9))),IF(J_V="SI",Datos!K9/Datos!J9,(Datos!K9+Datos!AA9)/(Datos!J9+Datos!Z9))," - ")</f>
        <v>0.75488858572078221</v>
      </c>
      <c r="BH9" s="260">
        <f>IF(ISNUMBER(((IF(J_V="SI",Datos!L9/Datos!K9,(Datos!L9+Datos!AB9)/(Datos!K9+Datos!AA9)))*11)/factor_trimestre),((IF(J_V="SI",Datos!L9/Datos!K9,(Datos!L9+Datos!AB9)/(Datos!K9+Datos!AA9)))*11)/factor_trimestre," - ")</f>
        <v>9.9987951807228921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-3.3966574485992544E-2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196</v>
      </c>
      <c r="G10" s="333">
        <f>IF(ISNUMBER(Datos!I10),Datos!I10," - ")</f>
        <v>196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2</v>
      </c>
      <c r="AD10" s="334"/>
      <c r="AE10" s="484"/>
      <c r="AF10" s="332">
        <f>IF(ISNUMBER(Datos!L10),Datos!L10,"-")</f>
        <v>212</v>
      </c>
      <c r="AG10" s="334"/>
      <c r="AH10" s="334"/>
      <c r="AI10" s="334"/>
      <c r="AJ10" s="334"/>
      <c r="AK10" s="334"/>
      <c r="AL10" s="479"/>
      <c r="AM10" s="335">
        <f>IF(ISNUMBER(Datos!R10),Datos!R10," - ")</f>
        <v>162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5</v>
      </c>
      <c r="BE10" s="229" t="str">
        <f>IF(ISNUMBER(Datos!BW10),Datos!BW10," - ")</f>
        <v xml:space="preserve"> - </v>
      </c>
      <c r="BF10" s="228" t="str">
        <f>IF(ISNUMBER(Datos!BX10),Datos!BX10," - ")</f>
        <v xml:space="preserve"> - </v>
      </c>
      <c r="BG10" s="243">
        <f>IF(ISNUMBER(Datos!K10/Datos!J10),Datos!K10/Datos!J10," - ")</f>
        <v>0.68</v>
      </c>
      <c r="BH10" s="260">
        <f>IF(ISNUMBER(((Datos!L10/Datos!K10)*11)/factor_trimestre),((Datos!L10/Datos!K10)*11)/factor_trimestre," - ")</f>
        <v>18.705882352941178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-1.2195121951219513E-2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216</v>
      </c>
      <c r="O11" s="334"/>
      <c r="P11" s="334"/>
      <c r="Q11" s="226">
        <f>IF(ISNUMBER(Datos!P11),Datos!P11,0)</f>
        <v>71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50</v>
      </c>
      <c r="AD11" s="334"/>
      <c r="AE11" s="484"/>
      <c r="AF11" s="332" t="str">
        <f>IF(ISNUMBER(IF(J_V="SI",Datos!L11,Datos!L11+Datos!AB11)-IF(Monitorios="SI",Datos!CD11,0)),
                          IF(J_V="SI",Datos!L11,Datos!L11+Datos!AB11)-IF(Monitorios="SI",Datos!CD11,0),
                          " - ")</f>
        <v xml:space="preserve"> - </v>
      </c>
      <c r="AG11" s="334"/>
      <c r="AH11" s="334">
        <f>IF(ISNUMBER(Datos!AB11),Datos!AB11,"-")</f>
        <v>66</v>
      </c>
      <c r="AI11" s="334"/>
      <c r="AJ11" s="334"/>
      <c r="AK11" s="334"/>
      <c r="AL11" s="479"/>
      <c r="AM11" s="335">
        <f>IF(ISNUMBER(Datos!R11),Datos!R11," - ")</f>
        <v>870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281</v>
      </c>
      <c r="BD11" s="229">
        <f>IF(ISNUMBER(Datos!N11),Datos!N11," - ")</f>
        <v>504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1.1903553299492386</v>
      </c>
      <c r="BH11" s="260">
        <f>IF(ISNUMBER(((IF(J_V="SI",Datos!L11/Datos!K11,(Datos!L11+Datos!AB11)/(Datos!K11+Datos!AA11)))*11)/factor_trimestre),((IF(J_V="SI",Datos!L11/Datos!K11,(Datos!L11+Datos!AB11)/(Datos!K11+Datos!AA11)))*11)/factor_trimestre," - ")</f>
        <v>3.5788912579957359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2.4734982332155476E-2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196</v>
      </c>
      <c r="G13" s="898">
        <f t="shared" si="0"/>
        <v>196</v>
      </c>
      <c r="H13" s="899">
        <f t="shared" si="0"/>
        <v>0</v>
      </c>
      <c r="I13" s="898">
        <f t="shared" si="0"/>
        <v>0</v>
      </c>
      <c r="J13" s="867">
        <f t="shared" si="0"/>
        <v>0</v>
      </c>
      <c r="K13" s="867">
        <f t="shared" si="0"/>
        <v>0</v>
      </c>
      <c r="L13" s="899">
        <f t="shared" si="0"/>
        <v>0</v>
      </c>
      <c r="M13" s="899">
        <f t="shared" si="0"/>
        <v>0</v>
      </c>
      <c r="N13" s="899">
        <f t="shared" si="0"/>
        <v>302</v>
      </c>
      <c r="O13" s="900">
        <f t="shared" si="0"/>
        <v>0</v>
      </c>
      <c r="P13" s="900">
        <f t="shared" si="0"/>
        <v>0</v>
      </c>
      <c r="Q13" s="899">
        <f t="shared" si="0"/>
        <v>1004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1550</v>
      </c>
      <c r="AD13" s="899">
        <f t="shared" si="1"/>
        <v>0</v>
      </c>
      <c r="AE13" s="899">
        <f t="shared" si="1"/>
        <v>0</v>
      </c>
      <c r="AF13" s="899">
        <f t="shared" si="1"/>
        <v>212</v>
      </c>
      <c r="AG13" s="899">
        <f t="shared" si="1"/>
        <v>0</v>
      </c>
      <c r="AH13" s="899">
        <f t="shared" si="1"/>
        <v>234</v>
      </c>
      <c r="AI13" s="899">
        <f t="shared" si="1"/>
        <v>0</v>
      </c>
      <c r="AJ13" s="899">
        <f t="shared" si="1"/>
        <v>0</v>
      </c>
      <c r="AK13" s="899">
        <f t="shared" si="1"/>
        <v>0</v>
      </c>
      <c r="AL13" s="899">
        <f t="shared" si="1"/>
        <v>0</v>
      </c>
      <c r="AM13" s="899">
        <f t="shared" si="1"/>
        <v>17101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1286</v>
      </c>
      <c r="BD13" s="899">
        <f t="shared" si="1"/>
        <v>2656</v>
      </c>
      <c r="BE13" s="899">
        <f t="shared" si="1"/>
        <v>0</v>
      </c>
      <c r="BF13" s="899">
        <f t="shared" si="1"/>
        <v>0</v>
      </c>
      <c r="BG13" s="899">
        <f>IF(ISNUMBER(Datos!K13/Datos!J13),Datos!K13/Datos!J13," - ")</f>
        <v>0.79125192766017105</v>
      </c>
      <c r="BH13" s="903">
        <f>IF(ISNUMBER(((Datos!L13/Datos!K13)*11)/factor_trimestre),((Datos!L13/Datos!K13)*11)/factor_trimestre," - ")</f>
        <v>9.4055634301913535</v>
      </c>
      <c r="BI13" s="899">
        <f>IF(ISNUMBER('Resol  Asuntos'!D13/NºAsuntos!G13),'Resol  Asuntos'!D13/NºAsuntos!G13," - ")</f>
        <v>0.21606182795698925</v>
      </c>
      <c r="BJ13" s="899" t="str">
        <f>IF(ISNUMBER(Datos!CI13/Datos!CJ13),Datos!CI13/Datos!CJ13," - ")</f>
        <v xml:space="preserve"> - </v>
      </c>
      <c r="BK13" s="899">
        <f>SUBTOTAL(9,BK8:BK12)</f>
        <v>0</v>
      </c>
      <c r="BL13" s="899">
        <f>IF(ISNUMBER((I13-AB13+L13)/(F13)),(I13-AB13+L13)/(F13)," - ")</f>
        <v>-0.17346938775510204</v>
      </c>
      <c r="BM13" s="904">
        <f>SUBTOTAL(9,BM9:BM12)</f>
        <v>-2.1426714105056584E-2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6335</v>
      </c>
      <c r="G15" s="598">
        <f>IF(ISNUMBER(IF(D_I="SI",Datos!I15,Datos!I15+Datos!AC15)),IF(D_I="SI",Datos!I15,Datos!I15+Datos!AC15)," - ")</f>
        <v>6292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3884</v>
      </c>
      <c r="AC15" s="226">
        <f>IF(ISNUMBER(Datos!Q15),Datos!Q15," - ")</f>
        <v>179</v>
      </c>
      <c r="AD15" s="334"/>
      <c r="AE15" s="484"/>
      <c r="AF15" s="596">
        <f>IF(ISNUMBER(IF(D_I="SI",Datos!L15,Datos!L15+Datos!AF15)),IF(D_I="SI",Datos!L15,Datos!L15+Datos!AF15)," - ")</f>
        <v>6765</v>
      </c>
      <c r="AG15" s="334"/>
      <c r="AH15" s="334"/>
      <c r="AI15" s="334"/>
      <c r="AJ15" s="334"/>
      <c r="AK15" s="334"/>
      <c r="AL15" s="479"/>
      <c r="AM15" s="335">
        <f>IF(ISNUMBER(Datos!R15),Datos!R15," - ")</f>
        <v>734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471</v>
      </c>
      <c r="BD15" s="229">
        <f>IF(ISNUMBER(Datos!N15),Datos!N15," - ")</f>
        <v>2372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0.9003245248029671</v>
      </c>
      <c r="BH15" s="260">
        <f>IF(ISNUMBER(((IF(D_I="SI",Datos!L15/Datos!K15,(Datos!L15+Datos!AF15)/(Datos!K15+Datos!AE15)))*11)/factor_trimestre),((IF(D_I="SI",Datos!L15/Datos!K15,(Datos!L15+Datos!AF15)/(Datos!K15+Datos!AE15)))*11)/factor_trimestre," - ")</f>
        <v>5.2252832131822871</v>
      </c>
      <c r="BI15" s="243">
        <f>IF(ISNUMBER('Resol  Asuntos'!D15/NºAsuntos!G15),'Resol  Asuntos'!D15/NºAsuntos!G15," - ")</f>
        <v>0.12126673532440782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309</v>
      </c>
      <c r="AC17" s="226">
        <f>IF(ISNUMBER(Datos!Q17),Datos!Q17," - ")</f>
        <v>0</v>
      </c>
      <c r="AD17" s="334"/>
      <c r="AE17" s="484"/>
      <c r="AF17" s="332">
        <f>IF(ISNUMBER(Datos!L17),Datos!L17,"-")</f>
        <v>292</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0.96261682242990654</v>
      </c>
      <c r="BH17" s="260">
        <f>IF(ISNUMBER(((IF(D_I="SI",Datos!L17/Datos!K17,(Datos!L17+Datos!AF17)/(Datos!K17+Datos!AE17)))*11)/factor_trimestre),((IF(D_I="SI",Datos!L17/Datos!K17,(Datos!L17+Datos!AF17)/(Datos!K17+Datos!AE17)))*11)/factor_trimestre," - ")</f>
        <v>2.8349514563106797</v>
      </c>
      <c r="BI17" s="243">
        <f>IF(ISNUMBER('Resol  Asuntos'!D17/NºAsuntos!G17),'Resol  Asuntos'!D17/NºAsuntos!G17," - ")</f>
        <v>0.12621359223300971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6335</v>
      </c>
      <c r="G18" s="898">
        <f>SUBTOTAL(9,G15:G17)</f>
        <v>6572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4193</v>
      </c>
      <c r="AC18" s="899">
        <f t="shared" si="4"/>
        <v>179</v>
      </c>
      <c r="AD18" s="899">
        <f t="shared" si="4"/>
        <v>0</v>
      </c>
      <c r="AE18" s="899">
        <f t="shared" si="4"/>
        <v>0</v>
      </c>
      <c r="AF18" s="899">
        <f t="shared" si="4"/>
        <v>7057</v>
      </c>
      <c r="AG18" s="899">
        <f t="shared" si="4"/>
        <v>0</v>
      </c>
      <c r="AH18" s="899">
        <f t="shared" si="4"/>
        <v>0</v>
      </c>
      <c r="AI18" s="899">
        <f t="shared" si="4"/>
        <v>0</v>
      </c>
      <c r="AJ18" s="899">
        <f t="shared" si="4"/>
        <v>0</v>
      </c>
      <c r="AK18" s="899">
        <f t="shared" si="4"/>
        <v>0</v>
      </c>
      <c r="AL18" s="899">
        <f t="shared" si="4"/>
        <v>0</v>
      </c>
      <c r="AM18" s="899">
        <f t="shared" si="4"/>
        <v>753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510</v>
      </c>
      <c r="BD18" s="899">
        <f t="shared" si="4"/>
        <v>2531</v>
      </c>
      <c r="BE18" s="899">
        <f t="shared" si="4"/>
        <v>0</v>
      </c>
      <c r="BF18" s="899">
        <f t="shared" si="4"/>
        <v>0</v>
      </c>
      <c r="BG18" s="899">
        <f>IF(ISNUMBER(Datos!K18/Datos!J18),Datos!K18/Datos!J18," - ")</f>
        <v>0.90463861920172595</v>
      </c>
      <c r="BH18" s="903">
        <f>IF(ISNUMBER(((Datos!L18/Datos!K18)*11)/factor_trimestre),((Datos!L18/Datos!K18)*11)/factor_trimestre," - ")</f>
        <v>5.0491295015502038</v>
      </c>
      <c r="BI18" s="899">
        <f>SUBTOTAL(9,BI15:BI17)</f>
        <v>0.24748032755741753</v>
      </c>
      <c r="BJ18" s="899">
        <f>SUBTOTAL(9,BJ15:BJ17)</f>
        <v>0</v>
      </c>
      <c r="BK18" s="899">
        <f>SUBTOTAL(9,BK15:BK17)</f>
        <v>0</v>
      </c>
      <c r="BL18" s="899">
        <f>IF(ISNUMBER((I18-AB18+L18)/(F18)),(I18-AB18+L18)/(F18)," - ")</f>
        <v>-0.66187845303867399</v>
      </c>
      <c r="BM18" s="905">
        <f>IF(ISNUMBER((Datos!P18-Datos!Q18)/(Datos!R18-Datos!P18+Datos!Q18)),(Datos!P18-Datos!Q18)/(Datos!R18-Datos!P18+Datos!Q18)," - ")</f>
        <v>-1.1811023622047244E-2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6531</v>
      </c>
      <c r="G19" s="820">
        <f t="shared" si="6"/>
        <v>6768</v>
      </c>
      <c r="H19" s="822">
        <f t="shared" si="6"/>
        <v>0</v>
      </c>
      <c r="I19" s="820">
        <f t="shared" si="6"/>
        <v>0</v>
      </c>
      <c r="J19" s="822">
        <f t="shared" si="6"/>
        <v>0</v>
      </c>
      <c r="K19" s="822">
        <f t="shared" si="6"/>
        <v>0</v>
      </c>
      <c r="L19" s="881">
        <f t="shared" si="6"/>
        <v>0</v>
      </c>
      <c r="M19" s="881">
        <f t="shared" si="6"/>
        <v>0</v>
      </c>
      <c r="N19" s="881">
        <f t="shared" si="6"/>
        <v>302</v>
      </c>
      <c r="O19" s="881">
        <f t="shared" si="6"/>
        <v>0</v>
      </c>
      <c r="P19" s="881">
        <f t="shared" si="6"/>
        <v>0</v>
      </c>
      <c r="Q19" s="822">
        <f t="shared" si="6"/>
        <v>1174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4227</v>
      </c>
      <c r="AC19" s="821">
        <f t="shared" si="7"/>
        <v>1729</v>
      </c>
      <c r="AD19" s="821">
        <f t="shared" si="7"/>
        <v>0</v>
      </c>
      <c r="AE19" s="821">
        <f t="shared" si="7"/>
        <v>0</v>
      </c>
      <c r="AF19" s="828">
        <f t="shared" si="7"/>
        <v>7269</v>
      </c>
      <c r="AG19" s="828">
        <f t="shared" si="7"/>
        <v>0</v>
      </c>
      <c r="AH19" s="828">
        <f t="shared" si="7"/>
        <v>234</v>
      </c>
      <c r="AI19" s="828">
        <f t="shared" si="7"/>
        <v>0</v>
      </c>
      <c r="AJ19" s="821">
        <f t="shared" si="7"/>
        <v>0</v>
      </c>
      <c r="AK19" s="828">
        <f t="shared" si="7"/>
        <v>0</v>
      </c>
      <c r="AL19" s="828">
        <f t="shared" si="7"/>
        <v>0</v>
      </c>
      <c r="AM19" s="828">
        <f t="shared" si="7"/>
        <v>17854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1796</v>
      </c>
      <c r="BD19" s="820">
        <f t="shared" si="7"/>
        <v>5187</v>
      </c>
      <c r="BE19" s="820">
        <f t="shared" si="7"/>
        <v>0</v>
      </c>
      <c r="BF19" s="830">
        <f t="shared" si="7"/>
        <v>0</v>
      </c>
      <c r="BG19" s="915">
        <f>IF(ISNUMBER(Datos!K19/Datos!J19),Datos!K19/Datos!J19," - ")</f>
        <v>0.83591094493541807</v>
      </c>
      <c r="BH19" s="915">
        <f>IF(ISNUMBER(((Datos!L19/Datos!K19)*11)/factor_trimestre),((Datos!L19/Datos!K19)*11)/factor_trimestre," - ")</f>
        <v>7.5486428789265014</v>
      </c>
      <c r="BI19" s="813">
        <f>IF(ISNUMBER(Datos!J19/Datos!I19),Datos!J19/Datos!I19," - ")</f>
        <v>0.51654815204986393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-0.64722094625631599</v>
      </c>
      <c r="BM19" s="889">
        <f>IF(ISNUMBER((Datos!P19-Datos!Q19+R19)/(Datos!R19-Datos!P19+Datos!Q19-R19)),(Datos!P19-Datos!Q19+R19)/(Datos!R19-Datos!P19+Datos!Q19-R19)," - ")</f>
        <v>-3.0148297028627303E-2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3.9299420408505319</v>
      </c>
      <c r="F21" s="551">
        <f>IF(ISNUMBER(STDEV(F8:F18)),STDEV(F8:F18),"-")</f>
        <v>3544.3533025551128</v>
      </c>
      <c r="G21" s="552">
        <f>IF(ISNUMBER(STDEV(G8:G18)),STDEV(G8:G18),"-")</f>
        <v>3401.8752475656715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2148.8645141097195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474.58523244738961</v>
      </c>
      <c r="BD21" s="551"/>
      <c r="BE21" s="551">
        <f>IF(ISNUMBER(STDEV(BE8:BE18)),STDEV(BE8:BE18),"-")</f>
        <v>0</v>
      </c>
      <c r="BF21" s="556">
        <f>IF(ISNUMBER(STDEV(BF8:BF18)),STDEV(BF8:BF18),"-")</f>
        <v>0</v>
      </c>
      <c r="BG21" s="775">
        <f>IF(ISNUMBER(STDEV(BG8:BG18)),STDEV(BG8:BG18),"-")</f>
        <v>0.16713886342112916</v>
      </c>
      <c r="BH21" s="776">
        <f>IF(ISNUMBER(STDEV(BH8:BH18)),STDEV(BH8:BH18),"-")</f>
        <v>5.5228479438846589</v>
      </c>
      <c r="BI21" s="249">
        <f>IF(ISNUMBER(STDEV(BI8:BI18)),STDEV(BI8:BI18),"-")</f>
        <v>6.3708908665997058E-2</v>
      </c>
      <c r="BJ21" s="230" t="str">
        <f>IF(ISNUMBER(BL21/BM21),BL21/BM21," - ")</f>
        <v xml:space="preserve"> - </v>
      </c>
      <c r="BK21" s="575"/>
      <c r="BL21" s="559">
        <f>IF(ISNUMBER(STDEV(BL8:BL18)),STDEV(BL8:BL18),"-")</f>
        <v>0.34535736205499695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xIZ9rpitdcuq+QzlwmtEyz1g6sygTxZ8ytFBpoQQfe6kofpKRIc3qWzi53oH6IV+atjSsf+Bz8Ln1leExq7HhQ==" saltValue="j8yH9F7rmQbjzSXiwYF6e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SABADELL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1498</v>
      </c>
      <c r="AA9" s="332" t="str">
        <f>IF(ISNUMBER(IF(J_V="SI",Datos!L9,Datos!L9+Datos!AB9)-IF(Monitorios="SI",Datos!CD9,0)),
                          IF(J_V="SI",Datos!L9,Datos!L9+Datos!AB9)-IF(Monitorios="SI",Datos!CD9,0),
                          " - ")</f>
        <v xml:space="preserve"> - </v>
      </c>
      <c r="AB9" s="334"/>
      <c r="AC9" s="334"/>
      <c r="AD9" s="484"/>
      <c r="AE9" s="484">
        <f>IF(ISNUMBER(Datos!R9),Datos!R9," - ")</f>
        <v>16069</v>
      </c>
      <c r="AF9" s="229" t="str">
        <f>IF(ISNUMBER(Datos!BV9),Datos!BV9," - ")</f>
        <v xml:space="preserve"> - </v>
      </c>
      <c r="AG9" s="225" t="str">
        <f>IF(ISNUMBER(Datos!DV9),Datos!DV9," - ")</f>
        <v xml:space="preserve"> - </v>
      </c>
      <c r="AH9" s="298"/>
      <c r="AI9" s="227"/>
      <c r="AJ9" s="225">
        <f>IF(ISNUMBER(Datos!M9),Datos!M9," - ")</f>
        <v>989</v>
      </c>
      <c r="AK9" s="229">
        <f>IF(ISNUMBER(Datos!N9),Datos!N9," - ")</f>
        <v>2147</v>
      </c>
      <c r="AL9" s="229" t="str">
        <f>IF(ISNUMBER(Datos!BW9),Datos!BW9," - ")</f>
        <v xml:space="preserve"> - </v>
      </c>
      <c r="AM9" s="228" t="str">
        <f>IF(ISNUMBER(Datos!BX9),Datos!BX9," - ")</f>
        <v xml:space="preserve"> - </v>
      </c>
      <c r="AN9" s="243"/>
      <c r="AO9" s="260">
        <f>IF(ISNUMBER(((NºAsuntos!I9/NºAsuntos!G9)*11)/factor_trimestre),((NºAsuntos!I9/NºAsuntos!G9)*11)/factor_trimestre," - ")</f>
        <v>9.9987951807228921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-3.3966574485992544E-2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196</v>
      </c>
      <c r="G10" s="225">
        <f>IF(ISNUMBER(Datos!I10),Datos!I10," - ")</f>
        <v>196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2</v>
      </c>
      <c r="AA10" s="332">
        <f>IF(ISNUMBER(Datos!L10),Datos!L10,"-")</f>
        <v>212</v>
      </c>
      <c r="AB10" s="334"/>
      <c r="AC10" s="334"/>
      <c r="AD10" s="484"/>
      <c r="AE10" s="484">
        <f>IF(ISNUMBER(Datos!R10),Datos!R10," - ")</f>
        <v>162</v>
      </c>
      <c r="AF10" s="229" t="str">
        <f>IF(ISNUMBER(Datos!BV10),Datos!BV10," - ")</f>
        <v xml:space="preserve"> - </v>
      </c>
      <c r="AG10" s="225" t="str">
        <f>IF(ISNUMBER(Datos!DV10),Datos!DV10," - ")</f>
        <v xml:space="preserve"> - </v>
      </c>
      <c r="AH10" s="298"/>
      <c r="AI10" s="227"/>
      <c r="AJ10" s="225">
        <f>IF(ISNUMBER(Datos!M10),Datos!M10," - ")</f>
        <v>16</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18.705882352941178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-1.2195121951219513E-2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50</v>
      </c>
      <c r="AA11" s="332" t="str">
        <f>IF(ISNUMBER(IF(J_V="SI",Datos!L11,Datos!L11+Datos!AB11)-IF(Monitorios="SI",Datos!CD11,0)),
                          IF(J_V="SI",Datos!L11,Datos!L11+Datos!AB11)-IF(Monitorios="SI",Datos!CD11,0),
                          " - ")</f>
        <v xml:space="preserve"> - </v>
      </c>
      <c r="AB11" s="334"/>
      <c r="AC11" s="334"/>
      <c r="AD11" s="484"/>
      <c r="AE11" s="484">
        <f>IF(ISNUMBER(Datos!R11),Datos!R11," - ")</f>
        <v>870</v>
      </c>
      <c r="AF11" s="229" t="str">
        <f>IF(ISNUMBER(Datos!BV11),Datos!BV11," - ")</f>
        <v xml:space="preserve"> - </v>
      </c>
      <c r="AG11" s="225" t="str">
        <f>IF(ISNUMBER(Datos!DV11),Datos!DV11," - ")</f>
        <v xml:space="preserve"> - </v>
      </c>
      <c r="AH11" s="298"/>
      <c r="AI11" s="227"/>
      <c r="AJ11" s="225">
        <f>IF(ISNUMBER(Datos!M11),Datos!M11," - ")</f>
        <v>281</v>
      </c>
      <c r="AK11" s="229">
        <f>IF(ISNUMBER(Datos!N11),Datos!N11," - ")</f>
        <v>504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3.5788912579957359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2.4734982332155476E-2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196</v>
      </c>
      <c r="G13" s="898">
        <f>SUBTOTAL(9,G8:G12)</f>
        <v>196</v>
      </c>
      <c r="H13" s="908"/>
      <c r="I13" s="898">
        <f t="shared" ref="I13:N13" si="0">SUBTOTAL(9,I8:I12)</f>
        <v>0</v>
      </c>
      <c r="J13" s="867">
        <f t="shared" si="0"/>
        <v>0</v>
      </c>
      <c r="K13" s="908">
        <f t="shared" si="0"/>
        <v>0</v>
      </c>
      <c r="L13" s="908">
        <f t="shared" si="0"/>
        <v>0</v>
      </c>
      <c r="M13" s="908">
        <f t="shared" si="0"/>
        <v>0</v>
      </c>
      <c r="N13" s="908">
        <f t="shared" si="0"/>
        <v>1004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1550</v>
      </c>
      <c r="AA13" s="900">
        <f t="shared" si="2"/>
        <v>212</v>
      </c>
      <c r="AB13" s="900">
        <f t="shared" si="2"/>
        <v>0</v>
      </c>
      <c r="AC13" s="900">
        <f t="shared" si="2"/>
        <v>0</v>
      </c>
      <c r="AD13" s="900">
        <f t="shared" si="2"/>
        <v>0</v>
      </c>
      <c r="AE13" s="900">
        <f t="shared" si="2"/>
        <v>17101</v>
      </c>
      <c r="AF13" s="908">
        <f t="shared" si="2"/>
        <v>0</v>
      </c>
      <c r="AG13" s="908">
        <f t="shared" si="2"/>
        <v>0</v>
      </c>
      <c r="AH13" s="908">
        <f t="shared" si="2"/>
        <v>0</v>
      </c>
      <c r="AI13" s="908">
        <f t="shared" si="2"/>
        <v>0</v>
      </c>
      <c r="AJ13" s="908">
        <f t="shared" si="2"/>
        <v>1286</v>
      </c>
      <c r="AK13" s="908">
        <f t="shared" si="2"/>
        <v>2656</v>
      </c>
      <c r="AL13" s="908">
        <f t="shared" si="2"/>
        <v>0</v>
      </c>
      <c r="AM13" s="908">
        <f t="shared" si="2"/>
        <v>0</v>
      </c>
      <c r="AN13" s="908">
        <f t="shared" si="2"/>
        <v>0</v>
      </c>
      <c r="AO13" s="904">
        <f>IF(ISNUMBER(((NºAsuntos!I13/NºAsuntos!G13)*11)/factor_trimestre),((NºAsuntos!I13/NºAsuntos!G13)*11)/factor_trimestre," - ")</f>
        <v>9.03679435483871</v>
      </c>
      <c r="AP13" s="910" t="str">
        <f>IF(ISNUMBER(Datos!CI13/Datos!CJ13),Datos!CI13/Datos!CJ13," - ")</f>
        <v xml:space="preserve"> - </v>
      </c>
      <c r="AQ13" s="928">
        <f t="shared" ref="AQ13:AV13" si="3">SUBTOTAL(9,AQ9:AQ12)</f>
        <v>0</v>
      </c>
      <c r="AR13" s="928">
        <f t="shared" si="3"/>
        <v>-2.1426714105056584E-2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6335</v>
      </c>
      <c r="G15" s="225">
        <f>IF(ISNUMBER(IF(D_I="SI",Datos!I15,Datos!I15+Datos!AC15)),IF(D_I="SI",Datos!I15,Datos!I15+Datos!AC15)," - ")</f>
        <v>6292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3884</v>
      </c>
      <c r="Z15" s="619">
        <f>IF(ISNUMBER(Datos!Q15),Datos!Q15," - ")</f>
        <v>179</v>
      </c>
      <c r="AA15" s="332">
        <f>IF(ISNUMBER(IF(D_I="SI",Datos!L15,Datos!L15+Datos!AF15)),IF(D_I="SI",Datos!L15,Datos!L15+Datos!AF15)," - ")</f>
        <v>6765</v>
      </c>
      <c r="AB15" s="334"/>
      <c r="AC15" s="334"/>
      <c r="AD15" s="484"/>
      <c r="AE15" s="484">
        <f>IF(ISNUMBER(Datos!R15),Datos!R15," - ")</f>
        <v>734</v>
      </c>
      <c r="AF15" s="229" t="str">
        <f>IF(ISNUMBER(Datos!BV15),Datos!BV15," - ")</f>
        <v xml:space="preserve"> - </v>
      </c>
      <c r="AG15" s="225"/>
      <c r="AH15" s="298"/>
      <c r="AI15" s="227"/>
      <c r="AJ15" s="225">
        <f>IF(ISNUMBER(Datos!M15),Datos!M15," - ")</f>
        <v>471</v>
      </c>
      <c r="AK15" s="229">
        <f>IF(ISNUMBER(Datos!N15),Datos!N15," - ")</f>
        <v>2372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5.2252832131822871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309</v>
      </c>
      <c r="Z17" s="619">
        <f>IF(ISNUMBER(Datos!Q17),Datos!Q17," - ")</f>
        <v>0</v>
      </c>
      <c r="AA17" s="332">
        <f>IF(ISNUMBER(Datos!L17),Datos!L17,"-")</f>
        <v>292</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39</v>
      </c>
      <c r="AK17" s="229">
        <f>IF(ISNUMBER(Datos!N17),Datos!N17," - ")</f>
        <v>159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2.8349514563106797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6335</v>
      </c>
      <c r="G18" s="898">
        <f>SUBTOTAL(9,G15:G17)</f>
        <v>6572</v>
      </c>
      <c r="H18" s="932">
        <f>SUBTOTAL(9,H15:H17)</f>
        <v>0</v>
      </c>
      <c r="I18" s="911">
        <f>SUBTOTAL(9,I15:I17)</f>
        <v>0</v>
      </c>
      <c r="J18" s="867">
        <f>SUBTOTAL(9,J14:J17)</f>
        <v>0</v>
      </c>
      <c r="K18" s="932">
        <f t="shared" ref="K18:S18" si="4">SUBTOTAL(9,K15:K17)</f>
        <v>0</v>
      </c>
      <c r="L18" s="932">
        <f t="shared" si="4"/>
        <v>0</v>
      </c>
      <c r="M18" s="932">
        <f t="shared" si="4"/>
        <v>0</v>
      </c>
      <c r="N18" s="932">
        <f t="shared" si="4"/>
        <v>170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4193</v>
      </c>
      <c r="Z18" s="932">
        <f t="shared" si="5"/>
        <v>179</v>
      </c>
      <c r="AA18" s="932">
        <f t="shared" si="5"/>
        <v>7057</v>
      </c>
      <c r="AB18" s="932">
        <f t="shared" si="5"/>
        <v>0</v>
      </c>
      <c r="AC18" s="932">
        <f t="shared" si="5"/>
        <v>0</v>
      </c>
      <c r="AD18" s="932">
        <f t="shared" si="5"/>
        <v>0</v>
      </c>
      <c r="AE18" s="932">
        <f t="shared" si="5"/>
        <v>753</v>
      </c>
      <c r="AF18" s="932">
        <f t="shared" si="5"/>
        <v>0</v>
      </c>
      <c r="AG18" s="932">
        <f t="shared" si="5"/>
        <v>0</v>
      </c>
      <c r="AH18" s="932">
        <f t="shared" si="5"/>
        <v>0</v>
      </c>
      <c r="AI18" s="932">
        <f t="shared" si="5"/>
        <v>0</v>
      </c>
      <c r="AJ18" s="932">
        <f t="shared" si="5"/>
        <v>510</v>
      </c>
      <c r="AK18" s="932">
        <f t="shared" si="5"/>
        <v>2531</v>
      </c>
      <c r="AL18" s="932">
        <f t="shared" si="5"/>
        <v>0</v>
      </c>
      <c r="AM18" s="932">
        <f t="shared" si="5"/>
        <v>0</v>
      </c>
      <c r="AN18" s="932">
        <f t="shared" si="5"/>
        <v>0</v>
      </c>
      <c r="AO18" s="934">
        <f>IF(ISNUMBER(((NºAsuntos!I18/NºAsuntos!G18)*11)/factor_trimestre),((NºAsuntos!I18/NºAsuntos!G18)*11)/factor_trimestre," - ")</f>
        <v>5.0491295015502038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6531</v>
      </c>
      <c r="G19" s="820">
        <f t="shared" si="7"/>
        <v>6768</v>
      </c>
      <c r="H19" s="821">
        <f t="shared" si="7"/>
        <v>0</v>
      </c>
      <c r="I19" s="820">
        <f t="shared" si="7"/>
        <v>0</v>
      </c>
      <c r="J19" s="822">
        <f t="shared" si="7"/>
        <v>0</v>
      </c>
      <c r="K19" s="820">
        <f t="shared" si="7"/>
        <v>0</v>
      </c>
      <c r="L19" s="823">
        <f t="shared" si="7"/>
        <v>0</v>
      </c>
      <c r="M19" s="820">
        <f t="shared" si="7"/>
        <v>0</v>
      </c>
      <c r="N19" s="821">
        <f t="shared" si="7"/>
        <v>1174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4227</v>
      </c>
      <c r="Z19" s="827">
        <f t="shared" si="8"/>
        <v>1729</v>
      </c>
      <c r="AA19" s="828">
        <f t="shared" si="8"/>
        <v>7269</v>
      </c>
      <c r="AB19" s="828">
        <f t="shared" si="8"/>
        <v>0</v>
      </c>
      <c r="AC19" s="828">
        <f t="shared" si="8"/>
        <v>0</v>
      </c>
      <c r="AD19" s="829">
        <f t="shared" si="8"/>
        <v>0</v>
      </c>
      <c r="AE19" s="829">
        <f t="shared" si="8"/>
        <v>17854</v>
      </c>
      <c r="AF19" s="830">
        <f t="shared" si="8"/>
        <v>0</v>
      </c>
      <c r="AG19" s="831">
        <f t="shared" si="8"/>
        <v>0</v>
      </c>
      <c r="AH19" s="832">
        <f t="shared" si="8"/>
        <v>0</v>
      </c>
      <c r="AI19" s="830">
        <f t="shared" si="8"/>
        <v>0</v>
      </c>
      <c r="AJ19" s="820">
        <f t="shared" si="8"/>
        <v>1796</v>
      </c>
      <c r="AK19" s="820">
        <f t="shared" si="8"/>
        <v>5187</v>
      </c>
      <c r="AL19" s="820">
        <f t="shared" si="8"/>
        <v>0</v>
      </c>
      <c r="AM19" s="833">
        <f t="shared" si="8"/>
        <v>0</v>
      </c>
      <c r="AN19" s="823">
        <f>IF(ISNUMBER(Datos!K19/Datos!J19),Datos!K19/Datos!J19," - ")</f>
        <v>0.83591094493541807</v>
      </c>
      <c r="AO19" s="823">
        <f>IF(ISNUMBER(FIND("06",Criterios!A8,1)),(IF(ISNUMBER(((Datos!R19/Datos!Q19)*11)/factor_trimestre),((Datos!R19/Datos!Q19)*11)/factor_trimestre," - ")),(IF(ISNUMBER(((Datos!L19/Datos!K19)*11)/factor_trimestre),((Datos!L19/Datos!K19)*11)/factor_trimestre," - ")))</f>
        <v>7.5486428789265014</v>
      </c>
      <c r="AP19" s="834" t="str">
        <f>IF(ISNUMBER(Datos!CI19/Datos!CJ19),Datos!CI19/Datos!CJ19," - ")</f>
        <v xml:space="preserve"> - </v>
      </c>
      <c r="AQ19" s="834">
        <f>IF(OR(ISNUMBER(FIND("01",Criterios!A8,1)),ISNUMBER(FIND("02",Criterios!A8,1)),ISNUMBER(FIND("03",Criterios!A8,1)),ISNUMBER(FIND("04",Criterios!A8,1))),(J19-Y19+K19)/(F19-K19),(I19-Y19+K19)/(F19-K19))</f>
        <v>-0.64722094625631599</v>
      </c>
      <c r="AR19" s="834">
        <f>IF(ISNUMBER((Datos!P19-Datos!Q19+O19)/(Datos!R19-Datos!P19+Datos!Q19-O19)),(Datos!P19-Datos!Q19+O19)/(Datos!R19-Datos!P19+Datos!Q19-O19)," - ")</f>
        <v>-3.0148297028627303E-2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3544.3533025551128</v>
      </c>
      <c r="G21" s="552">
        <f>IF(ISNUMBER(STDEV(G8:G18)),STDEV(G8:G18),"-")</f>
        <v>3401.8752475656715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474.58523244738961</v>
      </c>
      <c r="AK21" s="252"/>
      <c r="AL21" s="252">
        <f>IF(ISNUMBER(STDEV(AL8:AL18)),STDEV(AL8:AL18),"-")</f>
        <v>0</v>
      </c>
      <c r="AM21" s="254">
        <f>IF(ISNUMBER(STDEV(AM8:AM18)),STDEV(AM8:AM18),"-")</f>
        <v>0</v>
      </c>
      <c r="AN21" s="539">
        <f>IF(ISNUMBER(STDEV(AN8:AN18)),STDEV(AN8:AN18),"-")</f>
        <v>0</v>
      </c>
      <c r="AO21" s="540">
        <f>IF(ISNUMBER(STDEV(AO8:AO18)),STDEV(AO8:AO18),"-")</f>
        <v>5.5070320148738938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aJG0ZAhK18GqIiWNbPdYuNudpOFsouQSj4C4I5iisVfIafFQJMShaAdDvaS2N8rW45UeJo2ccgIBOdIPlgpUw==" saltValue="t0CEsaNqmLZjeYqaLXYF3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CrGGFe8udL8WsW9QTIpBSVEiCA+HzzRxKRSZ+DyT+iciiCb8NdXyQg0OjfQ8ppwA+zTrmAWsU4Tq7N8jIR4nw==" saltValue="9kWbdYM6svuLvkmgIHf8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Nl/mmR2oekXpwovFt2Acp13Otxza/oqfoCR/kPiJt+K9QsngB6dvjI+tCSpFnV2Ll1AauTaeGsmh+6fTBhow==" saltValue="7XsacFpylISAkpN4bn3FN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0.21606182795698925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0.15277878370394829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iuSYT7CfPOO/p/OpnIF0a1tKS5uimnKgM+ME8eU4tAHhLlLSf2vx4fdfMBDQAzXFH6maFsap9BcoXQXHsxyHQ==" saltValue="7m0WddAAd7hwG47wqANSn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Qerrw3gQ6wga4ua3lf0rNXWL9h+bau32xDjF5apD/61UD/Y+FAwQLAPPu20b7IqwbxrceKQwDaQgRedAfAIw==" saltValue="geOyOjv890w5FdxGwV6c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SABADELL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14981</v>
      </c>
      <c r="D9" s="404">
        <f>IF(ISNUMBER(C9/Datos!BH9),C9/Datos!BH9," - ")</f>
        <v>1872.625</v>
      </c>
      <c r="E9" s="403">
        <f>IF(ISNUMBER(IF(J_V="SI",Datos!J9,Datos!J9+Datos!Z9)),IF(J_V="SI",Datos!J9,Datos!J9+Datos!Z9)," - ")</f>
        <v>6597</v>
      </c>
      <c r="F9" s="404">
        <f>IF(ISNUMBER(E9/B9),E9/B9," - ")</f>
        <v>824.625</v>
      </c>
      <c r="G9" s="403">
        <f>IF(ISNUMBER(IF(J_V="SI",Datos!K9,Datos!K9+Datos!AA9)),IF(J_V="SI",Datos!K9,Datos!K9+Datos!AA9)," - ")</f>
        <v>4980</v>
      </c>
      <c r="H9" s="404">
        <f>IF(ISNUMBER(G9/B9),G9/B9," - ")</f>
        <v>622.5</v>
      </c>
      <c r="I9" s="403">
        <f>IF(ISNUMBER(IF(J_V="SI",Datos!L9,Datos!L9+Datos!AB9)),IF(J_V="SI",Datos!L9,Datos!L9+Datos!AB9)," - ")</f>
        <v>16598</v>
      </c>
      <c r="J9" s="404">
        <f>IF(ISNUMBER(I9/B9),I9/B9," - ")</f>
        <v>2074.75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196</v>
      </c>
      <c r="D10" s="404">
        <f>IF(ISNUMBER(C10/Datos!BH10),C10/Datos!BH10," - ")</f>
        <v>196</v>
      </c>
      <c r="E10" s="403">
        <f>IF(ISNUMBER(Datos!J10),Datos!J10," - ")</f>
        <v>50</v>
      </c>
      <c r="F10" s="404">
        <f>IF(ISNUMBER(E10/B10),E10/B10," - ")</f>
        <v>50</v>
      </c>
      <c r="G10" s="403">
        <f>IF(ISNUMBER(Datos!K10),Datos!K10," - ")</f>
        <v>34</v>
      </c>
      <c r="H10" s="404">
        <f>IF(ISNUMBER(G10/B10),G10/B10," - ")</f>
        <v>34</v>
      </c>
      <c r="I10" s="403">
        <f>IF(ISNUMBER(Datos!L10),Datos!L10," - ")</f>
        <v>212</v>
      </c>
      <c r="J10" s="404">
        <f>IF(ISNUMBER(I10/B10),I10/B10," - ")</f>
        <v>212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1259</v>
      </c>
      <c r="D11" s="404">
        <f>IF(ISNUMBER(C11/Datos!BH11),C11/Datos!BH11," - ")</f>
        <v>629.5</v>
      </c>
      <c r="E11" s="403">
        <f>IF(ISNUMBER(IF(J_V="SI",Datos!J11,Datos!J11+Datos!Z11)),IF(J_V="SI",Datos!J11,Datos!J11+Datos!Z11)," - ")</f>
        <v>788</v>
      </c>
      <c r="F11" s="404">
        <f>IF(ISNUMBER(E11/B11),E11/B11," - ")</f>
        <v>394</v>
      </c>
      <c r="G11" s="403">
        <f>IF(ISNUMBER(IF(J_V="SI",Datos!K11,Datos!K11+Datos!AA11)),IF(J_V="SI",Datos!K11,Datos!K11+Datos!AA11)," - ")</f>
        <v>938</v>
      </c>
      <c r="H11" s="404">
        <f>IF(ISNUMBER(G11/B11),G11/B11," - ")</f>
        <v>469</v>
      </c>
      <c r="I11" s="403">
        <f>IF(ISNUMBER(IF(J_V="SI",Datos!L11,Datos!L11+Datos!AB11)),IF(J_V="SI",Datos!L11,Datos!L11+Datos!AB11)," - ")</f>
        <v>1119</v>
      </c>
      <c r="J11" s="404">
        <f>IF(ISNUMBER(I11/B11),I11/B11," - ")</f>
        <v>559.5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16436</v>
      </c>
      <c r="D13" s="850" t="str">
        <f>IF(ISNUMBER(C13/Datos!BI13),C13/Datos!BI13," - ")</f>
        <v xml:space="preserve"> - </v>
      </c>
      <c r="E13" s="849">
        <f>SUBTOTAL(9,E8:E12)</f>
        <v>7435</v>
      </c>
      <c r="F13" s="850">
        <f>IF(ISNUMBER(E13/B13),E13/B13," - ")</f>
        <v>675.90909090909088</v>
      </c>
      <c r="G13" s="849">
        <f>SUBTOTAL(9,G8:G12)</f>
        <v>5952</v>
      </c>
      <c r="H13" s="850">
        <f>IF(ISNUMBER(G13/B13),G13/B13," - ")</f>
        <v>541.09090909090912</v>
      </c>
      <c r="I13" s="849">
        <f>SUBTOTAL(9,I8:I12)</f>
        <v>17929</v>
      </c>
      <c r="J13" s="850">
        <f>IF(ISNUMBER(I13/B13),I13/B13," - ")</f>
        <v>1629.909090909091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6292</v>
      </c>
      <c r="D15" s="404">
        <f>IF(ISNUMBER(C15/Datos!BH15),C15/Datos!BH15," - ")</f>
        <v>1258.4000000000001</v>
      </c>
      <c r="E15" s="403">
        <f>IF(ISNUMBER(IF(D_I="SI",Datos!J15,Datos!J15+Datos!AD15)),IF(D_I="SI",Datos!J15,Datos!J15+Datos!AD15)," - ")</f>
        <v>4314</v>
      </c>
      <c r="F15" s="404">
        <f>IF(ISNUMBER(E15/B15),E15/B15," - ")</f>
        <v>862.8</v>
      </c>
      <c r="G15" s="403">
        <f>IF(ISNUMBER(IF(D_I="SI",Datos!K15,Datos!K15+Datos!AE15)),IF(D_I="SI",Datos!K15,Datos!K15+Datos!AE15)," - ")</f>
        <v>3884</v>
      </c>
      <c r="H15" s="404">
        <f>IF(ISNUMBER(G15/B15),G15/B15," - ")</f>
        <v>776.8</v>
      </c>
      <c r="I15" s="403">
        <f>IF(ISNUMBER(IF(D_I="SI",Datos!L15,Datos!L15+Datos!AF15)),IF(D_I="SI",Datos!L15,Datos!L15+Datos!AF15)," - ")</f>
        <v>6765</v>
      </c>
      <c r="J15" s="404">
        <f>IF(ISNUMBER(I15/B15),I15/B15," - ")</f>
        <v>1353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280</v>
      </c>
      <c r="D17" s="404">
        <f>IF(ISNUMBER(C17/Datos!BH17),C17/Datos!BH17," - ")</f>
        <v>280</v>
      </c>
      <c r="E17" s="403">
        <f>IF(ISNUMBER(IF(D_I="SI",Datos!J17,Datos!J17+Datos!AD17)),IF(D_I="SI",Datos!J17,Datos!J17+Datos!AD17)," - ")</f>
        <v>321</v>
      </c>
      <c r="F17" s="404">
        <f>IF(ISNUMBER(E17/B17),E17/B17," - ")</f>
        <v>321</v>
      </c>
      <c r="G17" s="403">
        <f>IF(ISNUMBER(IF(D_I="SI",Datos!K17,Datos!K17+Datos!AE17)),IF(D_I="SI",Datos!K17,Datos!K17+Datos!AE17)," - ")</f>
        <v>309</v>
      </c>
      <c r="H17" s="404">
        <f>IF(ISNUMBER(G17/B17),G17/B17," - ")</f>
        <v>309</v>
      </c>
      <c r="I17" s="403">
        <f>IF(ISNUMBER(IF(D_I="SI",Datos!L17,Datos!L17+Datos!AF17)),IF(D_I="SI",Datos!L17,Datos!L17+Datos!AF17)," - ")</f>
        <v>292</v>
      </c>
      <c r="J17" s="404">
        <f>IF(ISNUMBER(I17/B17),I17/B17," - ")</f>
        <v>292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6572</v>
      </c>
      <c r="D18" s="850" t="str">
        <f>IF(ISNUMBER(C18/Datos!BI18),C18/Datos!BI18," - ")</f>
        <v xml:space="preserve"> - </v>
      </c>
      <c r="E18" s="849">
        <f>SUBTOTAL(9,E14:E17)</f>
        <v>4635</v>
      </c>
      <c r="F18" s="850">
        <f>IF(ISNUMBER(E18/B18),E18/B18," - ")</f>
        <v>772.5</v>
      </c>
      <c r="G18" s="849">
        <f>SUBTOTAL(9,G14:G17)</f>
        <v>4193</v>
      </c>
      <c r="H18" s="850">
        <f>IF(ISNUMBER(G18/B18),G18/B18," - ")</f>
        <v>698.83333333333337</v>
      </c>
      <c r="I18" s="849">
        <f>SUBTOTAL(9,I14:I17)</f>
        <v>7057</v>
      </c>
      <c r="J18" s="850">
        <f>IF(ISNUMBER(I18/B18),I18/B18," - ")</f>
        <v>1176.1666666666667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23008</v>
      </c>
      <c r="D19" s="795" t="str">
        <f>IF(ISNUMBER(C19/Datos!BI19),C19/Datos!BI19," - ")</f>
        <v xml:space="preserve"> - </v>
      </c>
      <c r="E19" s="794">
        <f>SUBTOTAL(9,E9:E18)</f>
        <v>12070</v>
      </c>
      <c r="F19" s="795">
        <f>IF(ISNUMBER(E19/B19),E19/B19," - ")</f>
        <v>754.375</v>
      </c>
      <c r="G19" s="794">
        <f>SUBTOTAL(9,G9:G18)</f>
        <v>10145</v>
      </c>
      <c r="H19" s="795">
        <f>IF(ISNUMBER(G19/B19),G19/B19," - ")</f>
        <v>634.0625</v>
      </c>
      <c r="I19" s="794">
        <f>SUBTOTAL(9,I9:I18)</f>
        <v>24986</v>
      </c>
      <c r="J19" s="795">
        <f>IF(ISNUMBER(I19/B19),I19/B19," - ")</f>
        <v>1561.625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p5fOjoxUD6vJ0VQdBmn5H+q34EMJYtfL/XTOp5/ZTZIG4mcToUTGxPHvABTUDputNx0dpXRztqqBRKCLwOp8A==" saltValue="Im3+hMXIL98fu+a0Uz925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SABADELL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196</v>
      </c>
      <c r="G10" s="684">
        <f>IF(ISNUMBER(Datos!I10),Datos!I10," - ")</f>
        <v>196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212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18.705882352941178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196</v>
      </c>
      <c r="G13" s="938">
        <f t="shared" si="0"/>
        <v>196</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0</v>
      </c>
      <c r="AE13" s="939">
        <f t="shared" si="1"/>
        <v>0</v>
      </c>
      <c r="AF13" s="939">
        <f t="shared" si="1"/>
        <v>212</v>
      </c>
      <c r="AG13" s="939">
        <f t="shared" si="1"/>
        <v>0</v>
      </c>
      <c r="AH13" s="939">
        <f t="shared" si="1"/>
        <v>0</v>
      </c>
      <c r="AI13" s="939">
        <f t="shared" si="1"/>
        <v>0</v>
      </c>
      <c r="AJ13" s="939">
        <f t="shared" si="1"/>
        <v>0</v>
      </c>
      <c r="AK13" s="939">
        <f t="shared" si="1"/>
        <v>0</v>
      </c>
      <c r="AL13" s="939">
        <f t="shared" si="1"/>
        <v>16</v>
      </c>
      <c r="AM13" s="939">
        <f t="shared" si="1"/>
        <v>5</v>
      </c>
      <c r="AN13" s="939">
        <f t="shared" si="1"/>
        <v>0</v>
      </c>
      <c r="AO13" s="939">
        <f t="shared" si="1"/>
        <v>0</v>
      </c>
      <c r="AP13" s="944">
        <f>IF(ISNUMBER(((Datos!L13/Datos!K13)*11)/factor_trimestre),((Datos!L13/Datos!K13)*11)/factor_trimestre," - ")</f>
        <v>9.4055634301913535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-0.17346938775510204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5.0491295015502038</v>
      </c>
      <c r="AQ18" s="944">
        <f>IF(ISNUMBER(((Datos!M18/Datos!L18)*11)/factor_trimestre),((Datos!M18/Datos!L18)*11)/factor_trimestre," - ")</f>
        <v>0.21680600821878984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-1.1811023622047244E-2</v>
      </c>
      <c r="AW18" s="946">
        <f>IF(ISNUMBER((Datos!Q18-Datos!R18)/(Datos!S18-Datos!Q18+Datos!R18)),(Datos!Q18-Datos!R18)/(Datos!S18-Datos!Q18+Datos!R18)," - ")</f>
        <v>-8.0674631061138438E-2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196</v>
      </c>
      <c r="G19" s="951">
        <f t="shared" si="4"/>
        <v>196</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0</v>
      </c>
      <c r="AE19" s="957">
        <f t="shared" si="5"/>
        <v>0</v>
      </c>
      <c r="AF19" s="958">
        <f t="shared" si="5"/>
        <v>212</v>
      </c>
      <c r="AG19" s="958">
        <f t="shared" si="5"/>
        <v>0</v>
      </c>
      <c r="AH19" s="958">
        <f t="shared" si="5"/>
        <v>0</v>
      </c>
      <c r="AI19" s="958">
        <f t="shared" si="5"/>
        <v>0</v>
      </c>
      <c r="AJ19" s="959">
        <f t="shared" si="5"/>
        <v>0</v>
      </c>
      <c r="AK19" s="959">
        <f t="shared" si="5"/>
        <v>0</v>
      </c>
      <c r="AL19" s="951">
        <f t="shared" si="5"/>
        <v>16</v>
      </c>
      <c r="AM19" s="951">
        <f t="shared" si="5"/>
        <v>5</v>
      </c>
      <c r="AN19" s="951">
        <f t="shared" si="5"/>
        <v>0</v>
      </c>
      <c r="AO19" s="951">
        <f t="shared" si="5"/>
        <v>0</v>
      </c>
      <c r="AP19" s="951">
        <f>IF(ISNUMBER(((Datos!L19/Datos!K19)*11)/factor_trimestre),((Datos!L19/Datos!K19)*11)/factor_trimestre," - ")</f>
        <v>7.5486428789265014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-0.17346938775510204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-3.0148297028627303E-2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113.16065276116665</v>
      </c>
      <c r="G21" s="737">
        <f>IF(ISNUMBER(STDEV(G8:G18)),STDEV(G8:G18),"-")</f>
        <v>113.16065276116665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6.9759270242199065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7prJECUB6UGXnhZn8+QUCqXfjZCzottJeOhCTLyi+msuu2ZOYqwkdPk6Y8CkKtAC8SWKKy/fCldKI0pNSFEOw==" saltValue="rnFWp8XjGYMiiT4/WdmW1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SABADELL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dMYxrseffSYaclsXZYXmfLBJE1Ag497EbWpys43LYBfHpHIqoyDCZKCMDpkK0uN7kQlNzq21JxhSzyOTNdvA==" saltValue="4nFTkCvcU+ioKP/SWC/5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SABADELL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989</v>
      </c>
      <c r="E9" s="404">
        <f t="shared" ref="E9:E13" si="0">IF(ISNUMBER(D9/B9),D9/B9," - ")</f>
        <v>123.625</v>
      </c>
      <c r="F9" s="403">
        <f>IF(ISNUMBER(Datos!N9),Datos!N9," - ")</f>
        <v>2147</v>
      </c>
      <c r="G9" s="404">
        <f t="shared" ref="G9:G13" si="1">IF(ISNUMBER(F9/B9),F9/B9," - ")</f>
        <v>268.375</v>
      </c>
      <c r="H9" s="403">
        <f>IF(ISNUMBER(Datos!O9),Datos!O9," - ")</f>
        <v>2020</v>
      </c>
      <c r="I9" s="404">
        <f>IF(ISNUMBER(H9/B9),H9/B9," - ")</f>
        <v>252.5</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5</v>
      </c>
      <c r="G10" s="404">
        <f>IF(ISNUMBER(F10/B10),F10/B10," - ")</f>
        <v>5</v>
      </c>
      <c r="H10" s="403">
        <f>IF(ISNUMBER(Datos!O10),Datos!O10," - ")</f>
        <v>10</v>
      </c>
      <c r="I10" s="404">
        <f t="shared" ref="I10:I12" si="2">IF(ISNUMBER(H10/B10),H10/B10," - ")</f>
        <v>10</v>
      </c>
      <c r="BZ10" s="1186">
        <f>Datos!EZ10</f>
        <v>0</v>
      </c>
    </row>
    <row r="11" spans="1:78">
      <c r="A11" s="402" t="str">
        <f>Datos!A11</f>
        <v xml:space="preserve">Jdos. Familia                                   </v>
      </c>
      <c r="B11" s="427">
        <f>Datos!AO11</f>
        <v>2</v>
      </c>
      <c r="C11" s="410">
        <f>Datos!AQ11</f>
        <v>2</v>
      </c>
      <c r="D11" s="403">
        <f>IF(ISNUMBER(Datos!M11),Datos!M11," - ")</f>
        <v>281</v>
      </c>
      <c r="E11" s="404">
        <f t="shared" si="0"/>
        <v>140.5</v>
      </c>
      <c r="F11" s="403">
        <f>IF(ISNUMBER(Datos!N11),Datos!N11," - ")</f>
        <v>504</v>
      </c>
      <c r="G11" s="404">
        <f t="shared" si="1"/>
        <v>252</v>
      </c>
      <c r="H11" s="403">
        <f>IF(ISNUMBER(Datos!O11),Datos!O11," - ")</f>
        <v>234</v>
      </c>
      <c r="I11" s="404">
        <f t="shared" si="2"/>
        <v>117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1286</v>
      </c>
      <c r="E13" s="850">
        <f t="shared" si="0"/>
        <v>116.90909090909091</v>
      </c>
      <c r="F13" s="849">
        <f>SUBTOTAL(9,F9:F12)</f>
        <v>2656</v>
      </c>
      <c r="G13" s="850">
        <f t="shared" si="1"/>
        <v>241.45454545454547</v>
      </c>
      <c r="H13" s="849">
        <f>SUBTOTAL(9,H9:H12)</f>
        <v>2264</v>
      </c>
      <c r="I13" s="850">
        <f>IF(ISNUMBER(H13/B13),H13/B13," - ")</f>
        <v>205.81818181818181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471</v>
      </c>
      <c r="E15" s="404">
        <f t="shared" ref="E15:E18" si="3">IF(ISNUMBER(D15/B15),D15/B15," - ")</f>
        <v>94.2</v>
      </c>
      <c r="F15" s="403">
        <f>IF(ISNUMBER(Datos!N15),Datos!N15," - ")</f>
        <v>2372</v>
      </c>
      <c r="G15" s="404">
        <f t="shared" ref="G15:G18" si="4">IF(ISNUMBER(F15/B15),F15/B15," - ")</f>
        <v>474.4</v>
      </c>
      <c r="H15" s="403">
        <f>IF(ISNUMBER(Datos!O15),Datos!O15," - ")</f>
        <v>78</v>
      </c>
      <c r="I15" s="404">
        <f t="shared" ref="I15:I17" si="5">IF(ISNUMBER(H15/B15),H15/B15," - ")</f>
        <v>15.6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159</v>
      </c>
      <c r="G17" s="404">
        <f>IF(ISNUMBER(F17/B17),F17/B17," - ")</f>
        <v>159</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510</v>
      </c>
      <c r="E18" s="850">
        <f t="shared" si="3"/>
        <v>85</v>
      </c>
      <c r="F18" s="849">
        <f>SUBTOTAL(9,F15:F17)</f>
        <v>2531</v>
      </c>
      <c r="G18" s="850">
        <f t="shared" si="4"/>
        <v>421.83333333333331</v>
      </c>
      <c r="H18" s="849">
        <f>SUBTOTAL(9,H15:H17)</f>
        <v>78</v>
      </c>
      <c r="I18" s="850">
        <f>IF(ISNUMBER(H18/B18),H18/B18," - ")</f>
        <v>13</v>
      </c>
      <c r="BZ18" s="1186"/>
    </row>
    <row r="19" spans="1:78" ht="14.25" thickTop="1" thickBot="1">
      <c r="A19" s="793" t="str">
        <f>Datos!A19</f>
        <v>TOTAL JURISDICCIONES</v>
      </c>
      <c r="B19" s="794">
        <f>Datos!AP19</f>
        <v>16</v>
      </c>
      <c r="C19" s="794">
        <f>Datos!AR19</f>
        <v>16</v>
      </c>
      <c r="D19" s="794">
        <f>SUBTOTAL(9,D8:D18)</f>
        <v>1796</v>
      </c>
      <c r="E19" s="795">
        <f>IF(ISNUMBER(D19/B19),D19/B19," - ")</f>
        <v>112.25</v>
      </c>
      <c r="F19" s="794">
        <f>SUBTOTAL(9,F8:F18)</f>
        <v>5187</v>
      </c>
      <c r="G19" s="795">
        <f>IF(ISNUMBER(F19/B19),F19/B19," - ")</f>
        <v>324.1875</v>
      </c>
      <c r="H19" s="794">
        <f>SUBTOTAL(9,H8:H18)</f>
        <v>2342</v>
      </c>
      <c r="I19" s="795">
        <f>IF(ISNUMBER(H19/B19),H19/B19," - ")</f>
        <v>146.375</v>
      </c>
    </row>
    <row r="22" spans="1:78">
      <c r="A22" s="391" t="str">
        <f>Criterios!A4</f>
        <v>Fecha Informe: 03 jun. 2025</v>
      </c>
    </row>
    <row r="27" spans="1:78">
      <c r="A27" s="414"/>
    </row>
  </sheetData>
  <sheetProtection algorithmName="SHA-512" hashValue="VeL4h13TueD9f1aNv/1Nldv0jx99Na2F26ATPKkeyhqf+feivu1tOGMwZ6JD2724YeR+8OgtIxn4l6sd8wFP3g==" saltValue="7KGYA5LfYLSF766Jjxyh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SABADELL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933</v>
      </c>
      <c r="C9" s="434">
        <f>IF(ISNUMBER(Datos!Q9),Datos!Q9," - ")</f>
        <v>1498</v>
      </c>
      <c r="D9" s="408">
        <f>IF(ISNUMBER(Datos!R9),Datos!R9," - ")</f>
        <v>16069</v>
      </c>
    </row>
    <row r="10" spans="1:4">
      <c r="A10" s="402" t="str">
        <f>Datos!A10</f>
        <v>Jdos. Violencia contra la mujer</v>
      </c>
      <c r="B10" s="433">
        <f>IF(ISNUMBER(Datos!P10),Datos!P10," - ")</f>
        <v>0</v>
      </c>
      <c r="C10" s="434">
        <f>IF(ISNUMBER(Datos!Q10),Datos!Q10," - ")</f>
        <v>2</v>
      </c>
      <c r="D10" s="408">
        <f>IF(ISNUMBER(Datos!R10),Datos!R10," - ")</f>
        <v>162</v>
      </c>
    </row>
    <row r="11" spans="1:4">
      <c r="A11" s="402" t="str">
        <f>Datos!A11</f>
        <v xml:space="preserve">Jdos. Familia                                   </v>
      </c>
      <c r="B11" s="433">
        <f>IF(ISNUMBER(Datos!P11),Datos!P11," - ")</f>
        <v>71</v>
      </c>
      <c r="C11" s="434">
        <f>IF(ISNUMBER(Datos!Q11),Datos!Q11," - ")</f>
        <v>50</v>
      </c>
      <c r="D11" s="408">
        <f>IF(ISNUMBER(Datos!R11),Datos!R11," - ")</f>
        <v>870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1004</v>
      </c>
      <c r="C13" s="853">
        <f>SUBTOTAL(9,C9:C12)</f>
        <v>1550</v>
      </c>
      <c r="D13" s="851">
        <f>SUBTOTAL(9,D9:D12)</f>
        <v>17101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166</v>
      </c>
      <c r="C15" s="434">
        <f>IF(ISNUMBER(Datos!Q15),Datos!Q15," - ")</f>
        <v>179</v>
      </c>
      <c r="D15" s="408">
        <f>IF(ISNUMBER(Datos!R15),Datos!R15," - ")</f>
        <v>734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0</v>
      </c>
      <c r="D17" s="408">
        <f>IF(ISNUMBER(Datos!R17),Datos!R17," - ")</f>
        <v>19</v>
      </c>
    </row>
    <row r="18" spans="1:4" ht="14.25" thickTop="1" thickBot="1">
      <c r="A18" s="848" t="str">
        <f>Datos!A18</f>
        <v>TOTAL</v>
      </c>
      <c r="B18" s="849">
        <f>SUBTOTAL(9,B15:B17)</f>
        <v>170</v>
      </c>
      <c r="C18" s="853">
        <f>SUBTOTAL(9,C15:C17)</f>
        <v>179</v>
      </c>
      <c r="D18" s="851">
        <f>SUBTOTAL(9,D15:D17)</f>
        <v>753</v>
      </c>
    </row>
    <row r="19" spans="1:4" ht="16.5" customHeight="1" thickTop="1" thickBot="1">
      <c r="A19" s="793" t="str">
        <f>Datos!A19</f>
        <v>TOTAL JURISDICCIONES</v>
      </c>
      <c r="B19" s="798">
        <f>SUBTOTAL(9,B8:B18)</f>
        <v>1174</v>
      </c>
      <c r="C19" s="799">
        <f>SUBTOTAL(9,C8:C18)</f>
        <v>1729</v>
      </c>
      <c r="D19" s="800">
        <f>SUBTOTAL(9,D8:D18)</f>
        <v>17854</v>
      </c>
    </row>
    <row r="20" spans="1:4" ht="7.5" customHeight="1"/>
    <row r="21" spans="1:4" ht="6" customHeight="1"/>
    <row r="22" spans="1:4">
      <c r="A22" s="391" t="str">
        <f>Criterios!A4</f>
        <v>Fecha Informe: 03 jun. 2025</v>
      </c>
    </row>
    <row r="27" spans="1:4">
      <c r="A27" s="414"/>
    </row>
  </sheetData>
  <sheetProtection algorithmName="SHA-512" hashValue="rdAjzUxobbFzynFgPEC1wegbTM6J+wqYhqwaOUHvLSckDoi7lBoRqeysbWhatJ4raBBvEbgL5iS0sU9dm1mN4A==" saltValue="f4oTPiWdTshkqFaTilXB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SABADELL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-6.3628976811050689E-2</v>
      </c>
      <c r="C9" s="456">
        <f>IF(ISNUMBER(
   IF(J_V="SI",(Datos!J9-Datos!T9)/Datos!T9,(Datos!J9+Datos!Z9-(Datos!T9+Datos!AH9))/(Datos!T9+Datos!AH9))
     ),IF(J_V="SI",(Datos!J9-Datos!T9)/Datos!T9,(Datos!J9+Datos!Z9-(Datos!T9+Datos!AH9))/(Datos!T9+Datos!AH9))," - ")</f>
        <v>0.4575784357048166</v>
      </c>
      <c r="D9" s="456">
        <f>IF(ISNUMBER(
   IF(J_V="SI",(Datos!K9-Datos!U9)/Datos!U9,(Datos!K9+Datos!AA9-(Datos!U9+Datos!AI9))/(Datos!U9+Datos!AI9))
     ),IF(J_V="SI",(Datos!K9-Datos!U9)/Datos!U9,(Datos!K9+Datos!AA9-(Datos!U9+Datos!AI9))/(Datos!U9+Datos!AI9))," - ")</f>
        <v>8.9715536105032828E-2</v>
      </c>
      <c r="E9" s="456">
        <f>IF(ISNUMBER(
   IF(J_V="SI",(Datos!L9-Datos!V9)/Datos!V9,(Datos!L9+Datos!AB9-(Datos!V9+Datos!AJ9))/(Datos!V9+Datos!AJ9))
     ),IF(J_V="SI",(Datos!L9-Datos!V9)/Datos!V9,(Datos!L9+Datos!AB9-(Datos!V9+Datos!AJ9))/(Datos!V9+Datos!AJ9))," - ")</f>
        <v>4.0431266846361183E-2</v>
      </c>
      <c r="F9" s="456">
        <f>IF(ISNUMBER((Datos!M9-Datos!W9)/Datos!W9),(Datos!M9-Datos!W9)/Datos!W9," - ")</f>
        <v>0.22098765432098766</v>
      </c>
      <c r="G9" s="457">
        <f>IF(ISNUMBER((Datos!N9-Datos!X9)/Datos!X9),(Datos!N9-Datos!X9)/Datos!X9," - ")</f>
        <v>0.10556127703398559</v>
      </c>
      <c r="H9" s="455">
        <f>IF(ISNUMBER(((NºAsuntos!G9/NºAsuntos!E9)-Datos!BD9)/Datos!BD9),((NºAsuntos!G9/NºAsuntos!E9)-Datos!BD9)/Datos!BD9," - ")</f>
        <v>-0.25237948818987738</v>
      </c>
      <c r="I9" s="456">
        <f>IF(ISNUMBER(((NºAsuntos!I9/NºAsuntos!G9)-Datos!BE9)/Datos!BE9),((NºAsuntos!I9/NºAsuntos!G9)-Datos!BE9)/Datos!BE9," - ")</f>
        <v>-4.5226729018499875E-2</v>
      </c>
      <c r="J9" s="461">
        <f>IF(ISNUMBER((('Resol  Asuntos'!D9/NºAsuntos!G9)-Datos!BF9)/Datos!BF9),(('Resol  Asuntos'!D9/NºAsuntos!G9)-Datos!BF9)/Datos!BF9," - ")</f>
        <v>-0.53265895714681588</v>
      </c>
      <c r="K9" s="462">
        <f>IF(ISNUMBER((((NºAsuntos!C9+NºAsuntos!E9)/NºAsuntos!G9)-Datos!BG9)/Datos!BG9),(((NºAsuntos!C9+NºAsuntos!E9)/NºAsuntos!G9)-Datos!BG9)/Datos!BG9," - ")</f>
        <v>-3.5249793326778543E-2</v>
      </c>
    </row>
    <row r="10" spans="1:11">
      <c r="A10" s="402" t="str">
        <f>Datos!A10</f>
        <v>Jdos. Violencia contra la mujer</v>
      </c>
      <c r="B10" s="455">
        <f>IF(ISNUMBER((Datos!I10-Datos!S10)/Datos!S10),(Datos!I10-Datos!S10)/Datos!S10," - ")</f>
        <v>0.45185185185185184</v>
      </c>
      <c r="C10" s="456">
        <f>IF(ISNUMBER((Datos!J10-Datos!T10)/Datos!T10),(Datos!J10-Datos!T10)/Datos!T10," - ")</f>
        <v>-0.15254237288135594</v>
      </c>
      <c r="D10" s="456">
        <f>IF(ISNUMBER((Datos!K10-Datos!U10)/Datos!U10),(Datos!K10-Datos!U10)/Datos!U10," - ")</f>
        <v>-0.38181818181818183</v>
      </c>
      <c r="E10" s="456">
        <f>IF(ISNUMBER((Datos!L10-Datos!V10)/Datos!V10),(Datos!L10-Datos!V10)/Datos!V10," - ")</f>
        <v>0.52517985611510787</v>
      </c>
      <c r="F10" s="456">
        <f>IF(ISNUMBER((Datos!M10-Datos!W10)/Datos!W10),(Datos!M10-Datos!W10)/Datos!W10," - ")</f>
        <v>-0.27272727272727271</v>
      </c>
      <c r="G10" s="457">
        <f>IF(ISNUMBER((Datos!N10-Datos!X10)/Datos!X10),(Datos!N10-Datos!X10)/Datos!X10," - ")</f>
        <v>-0.77272727272727271</v>
      </c>
      <c r="H10" s="455">
        <f>IF(ISNUMBER(((NºAsuntos!G10/NºAsuntos!E10)-Datos!BD10)/Datos!BD10),((NºAsuntos!G10/NºAsuntos!E10)-Datos!BD10)/Datos!BD10," - ")</f>
        <v>-0.27054545454545448</v>
      </c>
      <c r="I10" s="456">
        <f>IF(ISNUMBER(((NºAsuntos!I10/NºAsuntos!G10)-Datos!BE10)/Datos!BE10),((NºAsuntos!I10/NºAsuntos!G10)-Datos!BE10)/Datos!BE10," - ")</f>
        <v>1.467202708421498</v>
      </c>
      <c r="J10" s="461">
        <f>IF(ISNUMBER((('Resol  Asuntos'!D10/NºAsuntos!G10)-Datos!BF10)/Datos!BF10),(('Resol  Asuntos'!D10/NºAsuntos!G10)-Datos!BF10)/Datos!BF10," - ")</f>
        <v>0.17647058823529405</v>
      </c>
      <c r="K10" s="462">
        <f>IF(ISNUMBER((((NºAsuntos!C10+NºAsuntos!E10)/NºAsuntos!G10)-Datos!BG10)/Datos!BG10),(((NºAsuntos!C10+NºAsuntos!E10)/NºAsuntos!G10)-Datos!BG10)/Datos!BG10," - ")</f>
        <v>1.0512431776834446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4.4813278008298756E-2</v>
      </c>
      <c r="C11" s="456">
        <f>IF(ISNUMBER(
   IF(J_V="SI",(Datos!J11-Datos!T11)/Datos!T11,(Datos!J11+Datos!Z11-(Datos!T11+Datos!AH11))/(Datos!T11+Datos!AH11))
     ),IF(J_V="SI",(Datos!J11-Datos!T11)/Datos!T11,(Datos!J11+Datos!Z11-(Datos!T11+Datos!AH11))/(Datos!T11+Datos!AH11))," - ")</f>
        <v>-0.12444444444444444</v>
      </c>
      <c r="D11" s="456">
        <f>IF(ISNUMBER(
   IF(J_V="SI",(Datos!K11-Datos!U11)/Datos!U11,(Datos!K11+Datos!AA11-(Datos!U11+Datos!AI11))/(Datos!U11+Datos!AI11))
     ),IF(J_V="SI",(Datos!K11-Datos!U11)/Datos!U11,(Datos!K11+Datos!AA11-(Datos!U11+Datos!AI11))/(Datos!U11+Datos!AI11))," - ")</f>
        <v>2.2900763358778626E-2</v>
      </c>
      <c r="E11" s="456">
        <f>IF(ISNUMBER(
   IF(J_V="SI",(Datos!L11-Datos!V11)/Datos!V11,(Datos!L11+Datos!AB11-(Datos!V11+Datos!AJ11))/(Datos!V11+Datos!AJ11))
     ),IF(J_V="SI",(Datos!L11-Datos!V11)/Datos!V11,(Datos!L11+Datos!AB11-(Datos!V11+Datos!AJ11))/(Datos!V11+Datos!AJ11))," - ")</f>
        <v>-1.2356575463371581E-2</v>
      </c>
      <c r="F11" s="456">
        <f>IF(ISNUMBER((Datos!M11-Datos!W11)/Datos!W11),(Datos!M11-Datos!W11)/Datos!W11," - ")</f>
        <v>-4.4217687074829932E-2</v>
      </c>
      <c r="G11" s="457">
        <f>IF(ISNUMBER((Datos!N11-Datos!X11)/Datos!X11),(Datos!N11-Datos!X11)/Datos!X11," - ")</f>
        <v>0.11013215859030837</v>
      </c>
      <c r="H11" s="455">
        <f>IF(ISNUMBER(((NºAsuntos!G11/NºAsuntos!E11)-Datos!BD11)/Datos!BD11),((NºAsuntos!G11/NºAsuntos!E11)-Datos!BD11)/Datos!BD11," - ")</f>
        <v>0.16828767388692989</v>
      </c>
      <c r="I11" s="456">
        <f>IF(ISNUMBER(((NºAsuntos!I11/NºAsuntos!G11)-Datos!BE11)/Datos!BE11),((NºAsuntos!I11/NºAsuntos!G11)-Datos!BE11)/Datos!BE11," - ")</f>
        <v>-3.446799541568419E-2</v>
      </c>
      <c r="J11" s="461">
        <f>IF(ISNUMBER((('Resol  Asuntos'!D11/NºAsuntos!G11)-Datos!BF11)/Datos!BF11),(('Resol  Asuntos'!D11/NºAsuntos!G11)-Datos!BF11)/Datos!BF11," - ")</f>
        <v>-0.39491419554211321</v>
      </c>
      <c r="K11" s="462">
        <f>IF(ISNUMBER((((NºAsuntos!C11+NºAsuntos!E11)/NºAsuntos!G11)-Datos!BG11)/Datos!BG11),(((NºAsuntos!C11+NºAsuntos!E11)/NºAsuntos!G11)-Datos!BG11)/Datos!BG11," - ")</f>
        <v>-4.9324635728719951E-2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-5.2079127977392004E-2</v>
      </c>
      <c r="C13" s="855">
        <f>IF(ISNUMBER(
   IF(J_V="SI",(Datos!J13-Datos!T13)/Datos!T13,(Datos!J13+Datos!Z13-(Datos!T13+Datos!AH13))/(Datos!T13+Datos!AH13))
     ),IF(J_V="SI",(Datos!J13-Datos!T13)/Datos!T13,(Datos!J13+Datos!Z13-(Datos!T13+Datos!AH13))/(Datos!T13+Datos!AH13))," - ")</f>
        <v>0.35551504102096626</v>
      </c>
      <c r="D13" s="855">
        <f>IF(ISNUMBER(
   IF(J_V="SI",(Datos!K13-Datos!U13)/Datos!U13,(Datos!K13+Datos!AA13-(Datos!U13+Datos!AI13))/(Datos!U13+Datos!AI13))
     ),IF(J_V="SI",(Datos!K13-Datos!U13)/Datos!U13,(Datos!K13+Datos!AA13-(Datos!U13+Datos!AI13))/(Datos!U13+Datos!AI13))," - ")</f>
        <v>7.3980512450378927E-2</v>
      </c>
      <c r="E13" s="855">
        <f>IF(ISNUMBER(
   IF(J_V="SI",(Datos!L13-Datos!V13)/Datos!V13,(Datos!L13+Datos!AB13-(Datos!V13+Datos!AJ13))/(Datos!V13+Datos!AJ13))
     ),IF(J_V="SI",(Datos!L13-Datos!V13)/Datos!V13,(Datos!L13+Datos!AB13-(Datos!V13+Datos!AJ13))/(Datos!V13+Datos!AJ13))," - ")</f>
        <v>4.0870827285921625E-2</v>
      </c>
      <c r="F13" s="856">
        <f>IF(ISNUMBER((Datos!M13-Datos!W13)/Datos!W13),(Datos!M13-Datos!W13)/Datos!W13," - ")</f>
        <v>0.14209591474245115</v>
      </c>
      <c r="G13" s="857">
        <f>IF(ISNUMBER((Datos!N13-Datos!X13)/Datos!X13),(Datos!N13-Datos!X13)/Datos!X13," - ")</f>
        <v>9.8428453267162944E-2</v>
      </c>
      <c r="H13" s="857">
        <f>IF(ISNUMBER(((NºAsuntos!G13/NºAsuntos!E13)-Datos!BD13)/Datos!BD13),((NºAsuntos!G13/NºAsuntos!E13)-Datos!BD13)/Datos!BD13," - ")</f>
        <v>-0.20769561388159669</v>
      </c>
      <c r="I13" s="857">
        <f>IF(ISNUMBER(((NºAsuntos!I13/NºAsuntos!G13)-Datos!BE13)/Datos!BE13),((NºAsuntos!I13/NºAsuntos!G13)-Datos!BE13)/Datos!BE13," - ")</f>
        <v>-3.0828944082900298E-2</v>
      </c>
      <c r="J13" s="857">
        <f>IF(ISNUMBER((('Resol  Asuntos'!D13/NºAsuntos!G13)-Datos!BF13)/Datos!BF13),(('Resol  Asuntos'!D13/NºAsuntos!G13)-Datos!BF13)/Datos!BF13," - ")</f>
        <v>-0.5047912942358832</v>
      </c>
      <c r="K13" s="857">
        <f>IF(ISNUMBER((((NºAsuntos!C13+NºAsuntos!E13)/NºAsuntos!G13)-Datos!BG13)/Datos!BG13),(((NºAsuntos!C13+NºAsuntos!E13)/NºAsuntos!G13)-Datos!BG13)/Datos!BG13," - ")</f>
        <v>-2.6171561415261783E-2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-1.111287505953326E-3</v>
      </c>
      <c r="C15" s="456">
        <f>IF(ISNUMBER(
   IF(D_I="SI",(Datos!J15-Datos!T15)/Datos!T15,(Datos!J15+Datos!AD15-(Datos!T15+Datos!AL15))/(Datos!T15+Datos!AL15))
     ),IF(D_I="SI",(Datos!J15-Datos!T15)/Datos!T15,(Datos!J15+Datos!AD15-(Datos!T15+Datos!AL15))/(Datos!T15+Datos!AL15))," - ")</f>
        <v>0.12784313725490196</v>
      </c>
      <c r="D15" s="456">
        <f>IF(ISNUMBER(
   IF(D_I="SI",(Datos!K15-Datos!U15)/Datos!U15,(Datos!K15+Datos!AE15-(Datos!U15+Datos!AM15))/(Datos!U15+Datos!AM15))
     ),IF(D_I="SI",(Datos!K15-Datos!U15)/Datos!U15,(Datos!K15+Datos!AE15-(Datos!U15+Datos!AM15))/(Datos!U15+Datos!AM15))," - ")</f>
        <v>4.1845493562231759E-2</v>
      </c>
      <c r="E15" s="456">
        <f>IF(ISNUMBER(
   IF(D_I="SI",(Datos!L15-Datos!V15)/Datos!V15,(Datos!L15+Datos!AF15-(Datos!V15+Datos!AN15))/(Datos!V15+Datos!AN15))
     ),IF(D_I="SI",(Datos!L15-Datos!V15)/Datos!V15,(Datos!L15+Datos!AF15-(Datos!V15+Datos!AN15))/(Datos!V15+Datos!AN15))," - ")</f>
        <v>5.0139708165166094E-2</v>
      </c>
      <c r="F15" s="456">
        <f>IF(ISNUMBER((Datos!M15-Datos!W15)/Datos!W15),(Datos!M15-Datos!W15)/Datos!W15," - ")</f>
        <v>-3.0864197530864196E-2</v>
      </c>
      <c r="G15" s="457">
        <f>IF(ISNUMBER((Datos!N15-Datos!X15)/Datos!X15),(Datos!N15-Datos!X15)/Datos!X15," - ")</f>
        <v>-5.450733752620545E-3</v>
      </c>
      <c r="H15" s="455">
        <f>IF(ISNUMBER(((NºAsuntos!G15/NºAsuntos!E15)-Datos!BD15)/Datos!BD15),((NºAsuntos!G15/NºAsuntos!E15)-Datos!BD15)/Datos!BD15," - ")</f>
        <v>-7.6249649310260473E-2</v>
      </c>
      <c r="I15" s="456">
        <f>IF(ISNUMBER(((NºAsuntos!I15/NºAsuntos!G15)-Datos!BE15)/Datos!BE15),((NºAsuntos!I15/NºAsuntos!G15)-Datos!BE15)/Datos!BE15," - ")</f>
        <v>7.9610793099224829E-3</v>
      </c>
      <c r="J15" s="461">
        <f>IF(ISNUMBER((('Resol  Asuntos'!D15/NºAsuntos!G15)-Datos!BF15)/Datos!BF15),(('Resol  Asuntos'!D15/NºAsuntos!G15)-Datos!BF15)/Datos!BF15," - ")</f>
        <v>-6.9789322449809954E-2</v>
      </c>
      <c r="K15" s="462">
        <f>IF(ISNUMBER((((NºAsuntos!C15+NºAsuntos!E15)/NºAsuntos!G15)-Datos!BG15)/Datos!BG15),(((NºAsuntos!C15+NºAsuntos!E15)/NºAsuntos!G15)-Datos!BG15)/Datos!BG15," - ")</f>
        <v>5.5326312123081629E-3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0.15702479338842976</v>
      </c>
      <c r="C17" s="456">
        <f>IF(ISNUMBER(
   IF(D_I="SI",(Datos!J17-Datos!T17)/Datos!T17,(Datos!J17+Datos!AD17-(Datos!T17+Datos!AL17))/(Datos!T17+Datos!AL17))
     ),IF(D_I="SI",(Datos!J17-Datos!T17)/Datos!T17,(Datos!J17+Datos!AD17-(Datos!T17+Datos!AL17))/(Datos!T17+Datos!AL17))," - ")</f>
        <v>0.11846689895470383</v>
      </c>
      <c r="D17" s="456">
        <f>IF(ISNUMBER(
   IF(D_I="SI",(Datos!K17-Datos!U17)/Datos!U17,(Datos!K17+Datos!AE17-(Datos!U17+Datos!AM17))/(Datos!U17+Datos!AM17))
     ),IF(D_I="SI",(Datos!K17-Datos!U17)/Datos!U17,(Datos!K17+Datos!AE17-(Datos!U17+Datos!AM17))/(Datos!U17+Datos!AM17))," - ")</f>
        <v>2.6578073089700997E-2</v>
      </c>
      <c r="E17" s="456">
        <f>IF(ISNUMBER(
   IF(D_I="SI",(Datos!L17-Datos!V17)/Datos!V17,(Datos!L17+Datos!AF17-(Datos!V17+Datos!AN17))/(Datos!V17+Datos!AN17))
     ),IF(D_I="SI",(Datos!L17-Datos!V17)/Datos!V17,(Datos!L17+Datos!AF17-(Datos!V17+Datos!AN17))/(Datos!V17+Datos!AN17))," - ")</f>
        <v>0.2807017543859649</v>
      </c>
      <c r="F17" s="456">
        <f>IF(ISNUMBER((Datos!M17-Datos!W17)/Datos!W17),(Datos!M17-Datos!W17)/Datos!W17," - ")</f>
        <v>0.625</v>
      </c>
      <c r="G17" s="457">
        <f>IF(ISNUMBER((Datos!N17-Datos!X17)/Datos!X17),(Datos!N17-Datos!X17)/Datos!X17," - ")</f>
        <v>0.5</v>
      </c>
      <c r="H17" s="455">
        <f>IF(ISNUMBER(((NºAsuntos!G17/NºAsuntos!E17)-Datos!BD17)/Datos!BD17),((NºAsuntos!G17/NºAsuntos!E17)-Datos!BD17)/Datos!BD17," - ")</f>
        <v>-8.2156053031949616E-2</v>
      </c>
      <c r="I17" s="456">
        <f>IF(ISNUMBER(((NºAsuntos!I17/NºAsuntos!G17)-Datos!BE17)/Datos!BE17),((NºAsuntos!I17/NºAsuntos!G17)-Datos!BE17)/Datos!BE17," - ")</f>
        <v>0.24754442741157104</v>
      </c>
      <c r="J17" s="461">
        <f>IF(ISNUMBER((('Resol  Asuntos'!D17/NºAsuntos!G17)-Datos!BF17)/Datos!BF17),(('Resol  Asuntos'!D17/NºAsuntos!G17)-Datos!BF17)/Datos!BF17," - ")</f>
        <v>0.58292880258899682</v>
      </c>
      <c r="K17" s="462">
        <f>IF(ISNUMBER((((NºAsuntos!C17+NºAsuntos!E17)/NºAsuntos!G17)-Datos!BG17)/Datos!BG17),(((NºAsuntos!C17+NºAsuntos!E17)/NºAsuntos!G17)-Datos!BG17)/Datos!BG17," - ")</f>
        <v>0.10669211616226501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4.7393364928909956E-3</v>
      </c>
      <c r="C18" s="855">
        <f>IF(ISNUMBER(
   IF(Criterios!B14="SI",(Datos!J18-Datos!T18)/Datos!T18,(Datos!J18+Datos!AD18-(Datos!T18+Datos!AL18))/(Datos!T18+Datos!AL18))
     ),IF(Criterios!B14="SI",(Datos!J18-Datos!T18)/Datos!T18,(Datos!J18+Datos!AD18-(Datos!T18+Datos!AL18))/(Datos!T18+Datos!AL18))," - ")</f>
        <v>0.12718871595330739</v>
      </c>
      <c r="D18" s="855">
        <f>IF(ISNUMBER(
   IF(Criterios!B14="SI",(Datos!K18-Datos!U18)/Datos!U18,(Datos!K18+Datos!AE18-(Datos!U18+Datos!AM18))/(Datos!U18+Datos!AM18))
     ),IF(Criterios!B14="SI",(Datos!K18-Datos!U18)/Datos!U18,(Datos!K18+Datos!AE18-(Datos!U18+Datos!AM18))/(Datos!U18+Datos!AM18))," - ")</f>
        <v>4.070488955075701E-2</v>
      </c>
      <c r="E18" s="855">
        <f>IF(ISNUMBER(
   IF(Criterios!B14="SI",(Datos!L18-Datos!V18)/Datos!V18,(Datos!L18+Datos!AF18-(Datos!V18+Datos!AN18))/(Datos!V18+Datos!AN18))
     ),IF(Criterios!B14="SI",(Datos!L18-Datos!V18)/Datos!V18,(Datos!L18+Datos!AF18-(Datos!V18+Datos!AN18))/(Datos!V18+Datos!AN18))," - ")</f>
        <v>5.8020989505247374E-2</v>
      </c>
      <c r="F18" s="856">
        <f>IF(ISNUMBER((Datos!M18-Datos!W18)/Datos!W18),(Datos!M18-Datos!W18)/Datos!W18," - ")</f>
        <v>0</v>
      </c>
      <c r="G18" s="857">
        <f>IF(ISNUMBER((Datos!N18-Datos!X18)/Datos!X18),(Datos!N18-Datos!X18)/Datos!X18," - ")</f>
        <v>1.6057808109193095E-2</v>
      </c>
      <c r="H18" s="857">
        <f>IF(ISNUMBER(((NºAsuntos!G18/NºAsuntos!E18)-Datos!BD18)/Datos!BD18),((NºAsuntos!G18/NºAsuntos!E18)-Datos!BD18)/Datos!BD18," - ")</f>
        <v>-7.6725241460040394E-2</v>
      </c>
      <c r="I18" s="857">
        <f>IF(ISNUMBER(((NºAsuntos!I18/NºAsuntos!G18)-Datos!BE18)/Datos!BE18),((NºAsuntos!I18/NºAsuntos!G18)-Datos!BE18)/Datos!BE18," - ")</f>
        <v>1.6638818677949377E-2</v>
      </c>
      <c r="J18" s="857">
        <f>IF(ISNUMBER((('Resol  Asuntos'!D18/NºAsuntos!G18)-Datos!BF18)/Datos!BF18),(('Resol  Asuntos'!D18/NºAsuntos!G18)-Datos!BF18)/Datos!BF18," - ")</f>
        <v>-3.9112807059384774E-2</v>
      </c>
      <c r="K18" s="857">
        <f>IF(ISNUMBER((((NºAsuntos!C18+NºAsuntos!E18)/NºAsuntos!G18)-Datos!BG18)/Datos!BG18),(((NºAsuntos!C18+NºAsuntos!E18)/NºAsuntos!G18)-Datos!BG18)/Datos!BG18," - ")</f>
        <v>1.0857295718152285E-2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-3.6515912897822446E-2</v>
      </c>
      <c r="C19" s="802">
        <f>IF(ISNUMBER(
   IF(J_V="SI",(Datos!J19-Datos!T19)/Datos!T19,(Datos!J19+Datos!Z19-(Datos!T19+Datos!AH19))/(Datos!T19+Datos!AH19))
     ),IF(J_V="SI",(Datos!J19-Datos!T19)/Datos!T19,(Datos!J19+Datos!Z19-(Datos!T19+Datos!AH19))/(Datos!T19+Datos!AH19))," - ")</f>
        <v>0.2576846931332708</v>
      </c>
      <c r="D19" s="802">
        <f>IF(ISNUMBER(
   IF(J_V="SI",(Datos!K19-Datos!U19)/Datos!U19,(Datos!K19+Datos!AA19-(Datos!U19+Datos!AI19))/(Datos!U19+Datos!AI19))
     ),IF(J_V="SI",(Datos!K19-Datos!U19)/Datos!U19,(Datos!K19+Datos!AA19-(Datos!U19+Datos!AI19))/(Datos!U19+Datos!AI19))," - ")</f>
        <v>5.9972834604534529E-2</v>
      </c>
      <c r="E19" s="802">
        <f>IF(ISNUMBER(
   IF(J_V="SI",(Datos!L19-Datos!V19)/Datos!V19,(Datos!L19+Datos!AB19-(Datos!V19+Datos!AJ19))/(Datos!V19+Datos!AJ19))
     ),IF(J_V="SI",(Datos!L19-Datos!V19)/Datos!V19,(Datos!L19+Datos!AB19-(Datos!V19+Datos!AJ19))/(Datos!V19+Datos!AJ19))," - ")</f>
        <v>4.5658087465997067E-2</v>
      </c>
      <c r="F19" s="803">
        <f>IF(ISNUMBER((Datos!M19-Datos!W19)/Datos!W19),(Datos!M19-Datos!W19)/Datos!W19," - ")</f>
        <v>9.7799511002444994E-2</v>
      </c>
      <c r="G19" s="804">
        <f>IF(ISNUMBER((Datos!N19-Datos!X19)/Datos!X19),(Datos!N19-Datos!X19)/Datos!X19," - ")</f>
        <v>5.6630678345895295E-2</v>
      </c>
      <c r="H19" s="805">
        <f>IF(ISNUMBER((Tasas!B19-Datos!BD19)/Datos!BD19),(Tasas!B19-Datos!BD19)/Datos!BD19," - ")</f>
        <v>-0.157203041118499</v>
      </c>
      <c r="I19" s="806">
        <f>IF(ISNUMBER((Tasas!C19-Datos!BE19)/Datos!BE19),(Tasas!C19-Datos!BE19)/Datos!BE19," - ")</f>
        <v>-1.3504824530600326E-2</v>
      </c>
      <c r="J19" s="807">
        <f>IF(ISNUMBER((Tasas!D19-Datos!BF19)/Datos!BF19),(Tasas!D19-Datos!BF19)/Datos!BF19," - ")</f>
        <v>-0.42131726576660283</v>
      </c>
      <c r="K19" s="807">
        <f>IF(ISNUMBER((Tasas!E19-Datos!BG19)/Datos!BG19),(Tasas!E19-Datos!BG19)/Datos!BG19," - ")</f>
        <v>-1.1461572529740378E-2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EBvWWRimjPFAbJeAk3BNf0fkAZnO0aeFfi3R5EnY9kL+1C6m79lOclfj0/5ftpErD6ID9eSPal09Ai0NWbc+Q==" saltValue="KOZpJCwc29/QGhjXZjM6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SABADELL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0.75488858572078221</v>
      </c>
      <c r="C9" s="443">
        <f>IF(ISNUMBER(NºAsuntos!I9/NºAsuntos!G9),NºAsuntos!I9/NºAsuntos!G9," - ")</f>
        <v>3.3329317269076304</v>
      </c>
      <c r="D9" s="444">
        <f>IF(ISNUMBER('Resol  Asuntos'!D9/NºAsuntos!G9),'Resol  Asuntos'!D9/NºAsuntos!G9," - ")</f>
        <v>0.19859437751004017</v>
      </c>
      <c r="E9" s="445">
        <f>IF(ISNUMBER((NºAsuntos!C9+NºAsuntos!E9)/NºAsuntos!G9),(NºAsuntos!C9+NºAsuntos!E9)/NºAsuntos!G9," - ")</f>
        <v>4.3329317269076304</v>
      </c>
      <c r="G9" s="463"/>
    </row>
    <row r="10" spans="1:7">
      <c r="A10" s="402" t="str">
        <f>Datos!A10</f>
        <v>Jdos. Violencia contra la mujer</v>
      </c>
      <c r="B10" s="442">
        <f>IF(ISNUMBER(NºAsuntos!G10/NºAsuntos!E10),NºAsuntos!G10/NºAsuntos!E10," - ")</f>
        <v>0.68</v>
      </c>
      <c r="C10" s="443">
        <f>IF(ISNUMBER(NºAsuntos!I10/NºAsuntos!G10),NºAsuntos!I10/NºAsuntos!G10," - ")</f>
        <v>6.2352941176470589</v>
      </c>
      <c r="D10" s="444">
        <f>IF(ISNUMBER('Resol  Asuntos'!D10/NºAsuntos!G10),'Resol  Asuntos'!D10/NºAsuntos!G10," - ")</f>
        <v>0.47058823529411764</v>
      </c>
      <c r="E10" s="445">
        <f>IF(ISNUMBER((NºAsuntos!C10+NºAsuntos!E10)/NºAsuntos!G10),(NºAsuntos!C10+NºAsuntos!E10)/NºAsuntos!G10," - ")</f>
        <v>7.2352941176470589</v>
      </c>
      <c r="G10" s="463"/>
    </row>
    <row r="11" spans="1:7">
      <c r="A11" s="402" t="str">
        <f>Datos!A11</f>
        <v xml:space="preserve">Jdos. Familia                                   </v>
      </c>
      <c r="B11" s="442">
        <f>IF(ISNUMBER(NºAsuntos!G11/NºAsuntos!E11),NºAsuntos!G11/NºAsuntos!E11," - ")</f>
        <v>1.1903553299492386</v>
      </c>
      <c r="C11" s="443">
        <f>IF(ISNUMBER(NºAsuntos!I11/NºAsuntos!G11),NºAsuntos!I11/NºAsuntos!G11," - ")</f>
        <v>1.1929637526652452</v>
      </c>
      <c r="D11" s="444">
        <f>IF(ISNUMBER('Resol  Asuntos'!D11/NºAsuntos!G11),'Resol  Asuntos'!D11/NºAsuntos!G11," - ")</f>
        <v>0.29957356076759062</v>
      </c>
      <c r="E11" s="445">
        <f>IF(ISNUMBER((NºAsuntos!C11+NºAsuntos!E11)/NºAsuntos!G11),(NºAsuntos!C11+NºAsuntos!E11)/NºAsuntos!G11," - ")</f>
        <v>2.1823027718550105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0.80053799596503028</v>
      </c>
      <c r="C13" s="859">
        <f>IF(ISNUMBER(NºAsuntos!I13/NºAsuntos!G13),NºAsuntos!I13/NºAsuntos!G13," - ")</f>
        <v>3.0122647849462365</v>
      </c>
      <c r="D13" s="860">
        <f>IF(ISNUMBER('Resol  Asuntos'!D13/NºAsuntos!G13),'Resol  Asuntos'!D13/NºAsuntos!G13," - ")</f>
        <v>0.21606182795698925</v>
      </c>
      <c r="E13" s="861">
        <f>IF(ISNUMBER((NºAsuntos!C13+NºAsuntos!E13)/NºAsuntos!G13),(NºAsuntos!C13+NºAsuntos!E13)/NºAsuntos!G13," - ")</f>
        <v>4.010584677419355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0.9003245248029671</v>
      </c>
      <c r="C15" s="443">
        <f>IF(ISNUMBER(NºAsuntos!I15/NºAsuntos!G15),NºAsuntos!I15/NºAsuntos!G15," - ")</f>
        <v>1.7417610710607621</v>
      </c>
      <c r="D15" s="444">
        <f>IF(ISNUMBER('Resol  Asuntos'!D15/NºAsuntos!G15),'Resol  Asuntos'!D15/NºAsuntos!G15," - ")</f>
        <v>0.12126673532440782</v>
      </c>
      <c r="E15" s="445">
        <f>IF(ISNUMBER((NºAsuntos!C15+NºAsuntos!E15)/NºAsuntos!G15),(NºAsuntos!C15+NºAsuntos!E15)/NºAsuntos!G15," - ")</f>
        <v>2.7306900102986611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0.96261682242990654</v>
      </c>
      <c r="C17" s="443">
        <f>IF(ISNUMBER(NºAsuntos!I17/NºAsuntos!G17),NºAsuntos!I17/NºAsuntos!G17," - ")</f>
        <v>0.94498381877022652</v>
      </c>
      <c r="D17" s="444">
        <f>IF(ISNUMBER('Resol  Asuntos'!D17/NºAsuntos!G17),'Resol  Asuntos'!D17/NºAsuntos!G17," - ")</f>
        <v>0.12621359223300971</v>
      </c>
      <c r="E17" s="445">
        <f>IF(ISNUMBER((NºAsuntos!C17+NºAsuntos!E17)/NºAsuntos!G17),(NºAsuntos!C17+NºAsuntos!E17)/NºAsuntos!G17," - ")</f>
        <v>1.9449838187702266</v>
      </c>
      <c r="G17" s="463"/>
    </row>
    <row r="18" spans="1:7" ht="14.25" thickTop="1" thickBot="1">
      <c r="A18" s="848" t="str">
        <f>Datos!A18</f>
        <v>TOTAL</v>
      </c>
      <c r="B18" s="858">
        <f>IF(ISNUMBER(NºAsuntos!G18/NºAsuntos!E18),NºAsuntos!G18/NºAsuntos!E18," - ")</f>
        <v>0.90463861920172595</v>
      </c>
      <c r="C18" s="859">
        <f>IF(ISNUMBER(NºAsuntos!I18/NºAsuntos!G18),NºAsuntos!I18/NºAsuntos!G18," - ")</f>
        <v>1.683043167183401</v>
      </c>
      <c r="D18" s="862">
        <f>IF(ISNUMBER('Resol  Asuntos'!D18/NºAsuntos!G18),'Resol  Asuntos'!D18/NºAsuntos!G18," - ")</f>
        <v>0.12163129024564751</v>
      </c>
      <c r="E18" s="861">
        <f>IF(ISNUMBER((NºAsuntos!C18+NºAsuntos!E18)/NºAsuntos!G18),(NºAsuntos!C18+NºAsuntos!E18)/NºAsuntos!G18," - ")</f>
        <v>2.672787979966611</v>
      </c>
      <c r="G18" s="463"/>
    </row>
    <row r="19" spans="1:7" ht="15.75" customHeight="1" thickTop="1" thickBot="1">
      <c r="A19" s="793" t="str">
        <f>Datos!A19</f>
        <v>TOTAL JURISDICCIONES</v>
      </c>
      <c r="B19" s="808">
        <f>IF(ISNUMBER(NºAsuntos!G19/NºAsuntos!E19),NºAsuntos!G19/NºAsuntos!E19," - ")</f>
        <v>0.8405136702568351</v>
      </c>
      <c r="C19" s="809">
        <f>IF(ISNUMBER(NºAsuntos!I19/NºAsuntos!G19),NºAsuntos!I19/NºAsuntos!G19," - ")</f>
        <v>2.4628881222276986</v>
      </c>
      <c r="D19" s="810">
        <f>IF(ISNUMBER('Resol  Asuntos'!D19/NºAsuntos!G19),'Resol  Asuntos'!D19/NºAsuntos!G19," - ")</f>
        <v>0.17703302119270575</v>
      </c>
      <c r="E19" s="811">
        <f>IF(ISNUMBER((NºAsuntos!C19+NºAsuntos!E19)/NºAsuntos!G19),(NºAsuntos!C19+NºAsuntos!E19)/NºAsuntos!G19," - ")</f>
        <v>3.4576638738294725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fhNG1JII0L8o169/PKl4YRXyXfzqKpihYkRgjdn8lJBUm5/z2VFdcNC8bAojTvs6CHDxks1WNRMliUDmYfzXA==" saltValue="XcSh2u/O2j1lybEhKcM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SABADELL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1498</v>
      </c>
      <c r="Y9" s="334">
        <f>SUM(W9:X9)</f>
        <v>1498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16069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989</v>
      </c>
      <c r="AJ9" s="229" t="str">
        <f>IF(ISNUMBER(Datos!BW9),Datos!BW9," - ")</f>
        <v xml:space="preserve"> - </v>
      </c>
      <c r="AK9" s="228" t="str">
        <f>IF(ISNUMBER(Datos!BX9),Datos!BX9," - ")</f>
        <v xml:space="preserve"> - </v>
      </c>
      <c r="AL9" s="243">
        <f>IF(ISNUMBER(NºAsuntos!G9/NºAsuntos!E9),NºAsuntos!G9/NºAsuntos!E9," - ")</f>
        <v>0.75488858572078221</v>
      </c>
      <c r="AM9" s="260">
        <f>IF(ISNUMBER(((NºAsuntos!I9/NºAsuntos!G9)*11)/factor_trimestre),((NºAsuntos!I9/NºAsuntos!G9)*11)/factor_trimestre," - ")</f>
        <v>9.9987951807228921</v>
      </c>
      <c r="AN9" s="244">
        <f>IF(ISNUMBER('Resol  Asuntos'!D9/NºAsuntos!G9),'Resol  Asuntos'!D9/NºAsuntos!G9," - ")</f>
        <v>0.19859437751004017</v>
      </c>
      <c r="AO9" s="245">
        <f>IF(ISNUMBER((NºAsuntos!C9+NºAsuntos!E9)/NºAsuntos!G9),(NºAsuntos!C9+NºAsuntos!E9)/NºAsuntos!G9," - ")</f>
        <v>4.3329317269076304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196</v>
      </c>
      <c r="G10" s="333">
        <f>IF(ISNUMBER(Datos!I10),Datos!I10," - ")</f>
        <v>196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2</v>
      </c>
      <c r="Y10" s="334">
        <f t="shared" ref="Y10:Y12" si="0">SUM(W10:X10)</f>
        <v>36</v>
      </c>
      <c r="Z10" s="335" t="str">
        <f>IF(ISNUMBER(Datos!CC10),Datos!CC10," - ")</f>
        <v xml:space="preserve"> - </v>
      </c>
      <c r="AA10" s="332">
        <f>IF(ISNUMBER(Datos!L10),Datos!L10,"-")</f>
        <v>212</v>
      </c>
      <c r="AB10" s="334">
        <f>IF(ISNUMBER(Datos!R10),Datos!R10," - ")</f>
        <v>162</v>
      </c>
      <c r="AC10" s="334">
        <f t="shared" ref="AC10:AC12" si="1">IF(ISNUMBER(AA10+AB10),AA10+AB10," - ")</f>
        <v>374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0.68</v>
      </c>
      <c r="AM10" s="260">
        <f>IF(ISNUMBER(((NºAsuntos!I10/NºAsuntos!G10)*11)/factor_trimestre),((NºAsuntos!I10/NºAsuntos!G10)*11)/factor_trimestre," - ")</f>
        <v>18.705882352941178</v>
      </c>
      <c r="AN10" s="244">
        <f>IF(ISNUMBER('Resol  Asuntos'!D10/NºAsuntos!G10),'Resol  Asuntos'!D10/NºAsuntos!G10," - ")</f>
        <v>0.47058823529411764</v>
      </c>
      <c r="AO10" s="245">
        <f>IF(ISNUMBER((NºAsuntos!C10+NºAsuntos!E10)/NºAsuntos!G10),(NºAsuntos!C10+NºAsuntos!E10)/NºAsuntos!G10," - ")</f>
        <v>7.2352941176470589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50</v>
      </c>
      <c r="Y11" s="334">
        <f t="shared" si="0"/>
        <v>50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870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281</v>
      </c>
      <c r="AJ11" s="231" t="str">
        <f>IF(ISNUMBER(Datos!BW11),Datos!BW11," - ")</f>
        <v xml:space="preserve"> - </v>
      </c>
      <c r="AK11" s="232" t="str">
        <f>IF(ISNUMBER(Datos!BX11),Datos!BX11," - ")</f>
        <v xml:space="preserve"> - </v>
      </c>
      <c r="AL11" s="243">
        <f>IF(ISNUMBER(NºAsuntos!G11/NºAsuntos!E11),NºAsuntos!G11/NºAsuntos!E11," - ")</f>
        <v>1.1903553299492386</v>
      </c>
      <c r="AM11" s="260">
        <f>IF(ISNUMBER(((NºAsuntos!I11/NºAsuntos!G11)*11)/factor_trimestre),((NºAsuntos!I11/NºAsuntos!G11)*11)/factor_trimestre," - ")</f>
        <v>3.5788912579957359</v>
      </c>
      <c r="AN11" s="244">
        <f>IF(ISNUMBER('Resol  Asuntos'!D11/NºAsuntos!G11),'Resol  Asuntos'!D11/NºAsuntos!G11," - ")</f>
        <v>0.29957356076759062</v>
      </c>
      <c r="AO11" s="245">
        <f>IF(ISNUMBER((NºAsuntos!C11+NºAsuntos!E11)/NºAsuntos!G11),(NºAsuntos!C11+NºAsuntos!E11)/NºAsuntos!G11," - ")</f>
        <v>2.1823027718550105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196</v>
      </c>
      <c r="G13" s="866">
        <f t="shared" si="3"/>
        <v>196</v>
      </c>
      <c r="H13" s="865">
        <f t="shared" si="3"/>
        <v>0</v>
      </c>
      <c r="I13" s="867">
        <f t="shared" si="3"/>
        <v>0</v>
      </c>
      <c r="J13" s="867">
        <f t="shared" si="3"/>
        <v>0</v>
      </c>
      <c r="K13" s="867">
        <f t="shared" si="3"/>
        <v>0</v>
      </c>
      <c r="L13" s="867">
        <f t="shared" si="3"/>
        <v>1004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1550</v>
      </c>
      <c r="Y13" s="868">
        <f t="shared" si="4"/>
        <v>1584</v>
      </c>
      <c r="Z13" s="868">
        <f t="shared" si="4"/>
        <v>0</v>
      </c>
      <c r="AA13" s="868">
        <f t="shared" si="4"/>
        <v>212</v>
      </c>
      <c r="AB13" s="868">
        <f t="shared" si="4"/>
        <v>17101</v>
      </c>
      <c r="AC13" s="868">
        <f t="shared" si="4"/>
        <v>374</v>
      </c>
      <c r="AD13" s="868">
        <f t="shared" si="4"/>
        <v>0</v>
      </c>
      <c r="AE13" s="872">
        <f t="shared" si="4"/>
        <v>0</v>
      </c>
      <c r="AF13" s="865">
        <f t="shared" si="4"/>
        <v>0</v>
      </c>
      <c r="AG13" s="873">
        <f t="shared" si="4"/>
        <v>0</v>
      </c>
      <c r="AH13" s="870">
        <f t="shared" si="4"/>
        <v>0</v>
      </c>
      <c r="AI13" s="865">
        <f t="shared" si="4"/>
        <v>1286</v>
      </c>
      <c r="AJ13" s="867">
        <f t="shared" si="4"/>
        <v>0</v>
      </c>
      <c r="AK13" s="870">
        <f>SUBTOTAL(9,AK9:AK12)</f>
        <v>0</v>
      </c>
      <c r="AL13" s="874">
        <f>IF(ISNUMBER(NºAsuntos!G13/NºAsuntos!E13),NºAsuntos!G13/NºAsuntos!E13," - ")</f>
        <v>0.80053799596503028</v>
      </c>
      <c r="AM13" s="874">
        <f>IF(ISNUMBER(((NºAsuntos!I13/NºAsuntos!G13)*11)/factor_trimestre),((NºAsuntos!I13/NºAsuntos!G13)*11)/factor_trimestre," - ")</f>
        <v>9.03679435483871</v>
      </c>
      <c r="AN13" s="875">
        <f>IF(ISNUMBER('Resol  Asuntos'!D13/NºAsuntos!G13),'Resol  Asuntos'!D13/NºAsuntos!G13," - ")</f>
        <v>0.21606182795698925</v>
      </c>
      <c r="AO13" s="876">
        <f>IF(ISNUMBER((NºAsuntos!C13+NºAsuntos!E13)/NºAsuntos!G13),(NºAsuntos!C13+NºAsuntos!E13)/NºAsuntos!G13," - ")</f>
        <v>4.010584677419355</v>
      </c>
      <c r="AP13" s="877" t="str">
        <f t="shared" si="2"/>
        <v xml:space="preserve"> - </v>
      </c>
      <c r="AQ13" s="877">
        <f>IF(ISNUMBER((H13-W13+K13)/(F13)),(H13-W13+K13)/(F13)," - ")</f>
        <v>-0.17346938775510204</v>
      </c>
      <c r="AR13" s="878">
        <f>IF(ISNUMBER((Datos!P13-Datos!Q13)/(Datos!R13-Datos!P13+Datos!Q13)),(Datos!P13-Datos!Q13)/(Datos!R13-Datos!P13+Datos!Q13)," - ")</f>
        <v>-3.0940103133677111E-2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6335</v>
      </c>
      <c r="G15" s="333">
        <f>IF(ISNUMBER(IF(D_I="SI",Datos!I15,Datos!I15+Datos!AC15)),IF(D_I="SI",Datos!I15,Datos!I15+Datos!AC15)," - ")</f>
        <v>6292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3884</v>
      </c>
      <c r="X15" s="226">
        <f>IF(ISNUMBER(Datos!Q15),Datos!Q15," - ")</f>
        <v>179</v>
      </c>
      <c r="Y15" s="334">
        <f>SUM(W15)</f>
        <v>3884</v>
      </c>
      <c r="Z15" s="335" t="str">
        <f>IF(ISNUMBER(Datos!CC15),Datos!CC15," - ")</f>
        <v xml:space="preserve"> - </v>
      </c>
      <c r="AA15" s="332">
        <f>IF(ISNUMBER(IF(D_I="SI",Datos!L15,Datos!L15+Datos!AF15)),IF(D_I="SI",Datos!L15,Datos!L15+Datos!AF15)," - ")</f>
        <v>6765</v>
      </c>
      <c r="AB15" s="334">
        <f>IF(ISNUMBER(Datos!R15),Datos!R15," - ")</f>
        <v>734</v>
      </c>
      <c r="AC15" s="334">
        <f t="shared" ref="AC15:AC17" si="6">IF(ISNUMBER(AA15+AB15),AA15+AB15," - ")</f>
        <v>7499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471</v>
      </c>
      <c r="AJ15" s="231" t="str">
        <f>IF(ISNUMBER(Datos!BW15),Datos!BW15," - ")</f>
        <v xml:space="preserve"> - </v>
      </c>
      <c r="AK15" s="232" t="str">
        <f>IF(ISNUMBER(Datos!BX15),Datos!BX15," - ")</f>
        <v xml:space="preserve"> - </v>
      </c>
      <c r="AL15" s="243">
        <f>IF(ISNUMBER(NºAsuntos!G15/NºAsuntos!E15),NºAsuntos!G15/NºAsuntos!E15," - ")</f>
        <v>0.9003245248029671</v>
      </c>
      <c r="AM15" s="260">
        <f>IF(ISNUMBER(((NºAsuntos!I15/NºAsuntos!G15)*11)/factor_trimestre),((NºAsuntos!I15/NºAsuntos!G15)*11)/factor_trimestre," - ")</f>
        <v>5.2252832131822871</v>
      </c>
      <c r="AN15" s="244">
        <f>IF(ISNUMBER('Resol  Asuntos'!D15/NºAsuntos!G15),'Resol  Asuntos'!D15/NºAsuntos!G15," - ")</f>
        <v>0.12126673532440782</v>
      </c>
      <c r="AO15" s="245">
        <f>IF(ISNUMBER((NºAsuntos!C15+NºAsuntos!E15)/NºAsuntos!G15),(NºAsuntos!C15+NºAsuntos!E15)/NºAsuntos!G15," - ")</f>
        <v>2.7306900102986611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309</v>
      </c>
      <c r="X17" s="226">
        <f>IF(ISNUMBER(Datos!Q17),Datos!Q17," - ")</f>
        <v>0</v>
      </c>
      <c r="Y17" s="334">
        <f t="shared" si="7"/>
        <v>309</v>
      </c>
      <c r="Z17" s="335" t="str">
        <f>IF(ISNUMBER(Datos!CC17),Datos!CC17," - ")</f>
        <v xml:space="preserve"> - </v>
      </c>
      <c r="AA17" s="332">
        <f>IF(ISNUMBER(Datos!L17),Datos!L17,"-")</f>
        <v>292</v>
      </c>
      <c r="AB17" s="334">
        <f>IF(ISNUMBER(Datos!R17),Datos!R17," - ")</f>
        <v>19</v>
      </c>
      <c r="AC17" s="334">
        <f t="shared" si="6"/>
        <v>311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0.96261682242990654</v>
      </c>
      <c r="AM17" s="260">
        <f>IF(ISNUMBER(((NºAsuntos!I17/NºAsuntos!G17)*11)/factor_trimestre),((NºAsuntos!I17/NºAsuntos!G17)*11)/factor_trimestre," - ")</f>
        <v>2.8349514563106797</v>
      </c>
      <c r="AN17" s="244">
        <f>IF(ISNUMBER('Resol  Asuntos'!D17/NºAsuntos!G17),'Resol  Asuntos'!D17/NºAsuntos!G17," - ")</f>
        <v>0.12621359223300971</v>
      </c>
      <c r="AO17" s="245">
        <f>IF(ISNUMBER((NºAsuntos!C17+NºAsuntos!E17)/NºAsuntos!G17),(NºAsuntos!C17+NºAsuntos!E17)/NºAsuntos!G17," - ")</f>
        <v>1.9449838187702266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6335</v>
      </c>
      <c r="G18" s="866">
        <f>SUBTOTAL(9,G15:G17)</f>
        <v>6572</v>
      </c>
      <c r="H18" s="865">
        <f t="shared" ref="H18:O18" si="10">SUBTOTAL(9,H14:H17)</f>
        <v>0</v>
      </c>
      <c r="I18" s="867">
        <f t="shared" si="10"/>
        <v>0</v>
      </c>
      <c r="J18" s="867">
        <f t="shared" si="10"/>
        <v>0</v>
      </c>
      <c r="K18" s="867">
        <f t="shared" si="10"/>
        <v>0</v>
      </c>
      <c r="L18" s="867">
        <f t="shared" si="10"/>
        <v>170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4193</v>
      </c>
      <c r="X18" s="867">
        <f t="shared" si="11"/>
        <v>179</v>
      </c>
      <c r="Y18" s="868">
        <f t="shared" si="11"/>
        <v>4193</v>
      </c>
      <c r="Z18" s="868">
        <f t="shared" si="11"/>
        <v>0</v>
      </c>
      <c r="AA18" s="868">
        <f t="shared" si="11"/>
        <v>7057</v>
      </c>
      <c r="AB18" s="868">
        <f t="shared" si="11"/>
        <v>753</v>
      </c>
      <c r="AC18" s="868">
        <f t="shared" si="11"/>
        <v>7810</v>
      </c>
      <c r="AD18" s="868">
        <f t="shared" si="11"/>
        <v>0</v>
      </c>
      <c r="AE18" s="872">
        <f t="shared" si="11"/>
        <v>0</v>
      </c>
      <c r="AF18" s="865">
        <f t="shared" si="11"/>
        <v>0</v>
      </c>
      <c r="AG18" s="873">
        <f t="shared" si="11"/>
        <v>0</v>
      </c>
      <c r="AH18" s="870">
        <f t="shared" si="11"/>
        <v>0</v>
      </c>
      <c r="AI18" s="865">
        <f t="shared" si="11"/>
        <v>510</v>
      </c>
      <c r="AJ18" s="867">
        <f t="shared" si="11"/>
        <v>0</v>
      </c>
      <c r="AK18" s="870">
        <f t="shared" si="11"/>
        <v>0</v>
      </c>
      <c r="AL18" s="874">
        <f>IF(ISNUMBER(NºAsuntos!G18/NºAsuntos!E18),NºAsuntos!G18/NºAsuntos!E18," - ")</f>
        <v>0.90463861920172595</v>
      </c>
      <c r="AM18" s="874">
        <f>IF(ISNUMBER(((NºAsuntos!I18/NºAsuntos!G18)*11)/factor_trimestre),((NºAsuntos!I18/NºAsuntos!G18)*11)/factor_trimestre," - ")</f>
        <v>5.0491295015502038</v>
      </c>
      <c r="AN18" s="875">
        <f>IF(ISNUMBER('Resol  Asuntos'!D18/NºAsuntos!G18),'Resol  Asuntos'!D18/NºAsuntos!G18," - ")</f>
        <v>0.12163129024564751</v>
      </c>
      <c r="AO18" s="876">
        <f>IF(ISNUMBER((NºAsuntos!C18+NºAsuntos!E18)/NºAsuntos!G18),(NºAsuntos!C18+NºAsuntos!E18)/NºAsuntos!G18," - ")</f>
        <v>2.672787979966611</v>
      </c>
      <c r="AP18" s="877" t="str">
        <f t="shared" si="2"/>
        <v xml:space="preserve"> - </v>
      </c>
      <c r="AQ18" s="877">
        <f>IF(ISNUMBER((H18-W18+K18)/(F18)),(H18-W18+K18)/(F18)," - ")</f>
        <v>-0.66187845303867399</v>
      </c>
      <c r="AR18" s="878">
        <f>IF(ISNUMBER((Datos!P18-Datos!Q18)/(Datos!R18-Datos!P18+Datos!Q18)),(Datos!P18-Datos!Q18)/(Datos!R18-Datos!P18+Datos!Q18)," - ")</f>
        <v>-1.1811023622047244E-2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6531</v>
      </c>
      <c r="G19" s="821">
        <f t="shared" si="13"/>
        <v>6768</v>
      </c>
      <c r="H19" s="820">
        <f t="shared" si="13"/>
        <v>0</v>
      </c>
      <c r="I19" s="822">
        <f t="shared" si="13"/>
        <v>0</v>
      </c>
      <c r="J19" s="822">
        <f t="shared" si="13"/>
        <v>0</v>
      </c>
      <c r="K19" s="881">
        <f t="shared" si="13"/>
        <v>0</v>
      </c>
      <c r="L19" s="822">
        <f t="shared" si="13"/>
        <v>1174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4227</v>
      </c>
      <c r="X19" s="821">
        <f t="shared" si="14"/>
        <v>1729</v>
      </c>
      <c r="Y19" s="828">
        <f t="shared" si="14"/>
        <v>5777</v>
      </c>
      <c r="Z19" s="828">
        <f t="shared" si="14"/>
        <v>0</v>
      </c>
      <c r="AA19" s="828">
        <f t="shared" si="14"/>
        <v>7269</v>
      </c>
      <c r="AB19" s="828">
        <f t="shared" si="14"/>
        <v>17854</v>
      </c>
      <c r="AC19" s="828">
        <f t="shared" si="14"/>
        <v>8184</v>
      </c>
      <c r="AD19" s="828">
        <f t="shared" si="14"/>
        <v>0</v>
      </c>
      <c r="AE19" s="830">
        <f t="shared" si="14"/>
        <v>0</v>
      </c>
      <c r="AF19" s="831">
        <f t="shared" si="14"/>
        <v>0</v>
      </c>
      <c r="AG19" s="832">
        <f t="shared" si="14"/>
        <v>0</v>
      </c>
      <c r="AH19" s="830">
        <f t="shared" si="14"/>
        <v>0</v>
      </c>
      <c r="AI19" s="820">
        <f t="shared" si="14"/>
        <v>1796</v>
      </c>
      <c r="AJ19" s="820">
        <f t="shared" si="14"/>
        <v>0</v>
      </c>
      <c r="AK19" s="830">
        <f t="shared" si="14"/>
        <v>0</v>
      </c>
      <c r="AL19" s="884">
        <f>IF(ISNUMBER(NºAsuntos!G19/NºAsuntos!E19),NºAsuntos!G19/NºAsuntos!E19," - ")</f>
        <v>0.8405136702568351</v>
      </c>
      <c r="AM19" s="885">
        <f>IF(ISNUMBER(((NºAsuntos!I19/NºAsuntos!G19)*11)/factor_trimestre),((NºAsuntos!I19/NºAsuntos!G19)*11)/factor_trimestre," - ")</f>
        <v>7.3886643666830958</v>
      </c>
      <c r="AN19" s="885">
        <f>IF(ISNUMBER('Resol  Asuntos'!D19/NºAsuntos!G19),'Resol  Asuntos'!D19/NºAsuntos!G19," - ")</f>
        <v>0.17703302119270575</v>
      </c>
      <c r="AO19" s="886">
        <f>IF(ISNUMBER((NºAsuntos!C19+NºAsuntos!E19)/NºAsuntos!G19),(NºAsuntos!C19+NºAsuntos!E19)/NºAsuntos!G19," - ")</f>
        <v>3.4576638738294725</v>
      </c>
      <c r="AP19" s="887" t="str">
        <f t="shared" si="2"/>
        <v xml:space="preserve"> - </v>
      </c>
      <c r="AQ19" s="888">
        <f>IF(OR(ISNUMBER(FIND("01",Criterios!A8,1)),ISNUMBER(FIND("02",Criterios!A8,1)),ISNUMBER(FIND("03",Criterios!A8,1)),ISNUMBER(FIND("04",Criterios!A8,1))),(I19-W19+K19)/(F19-K19),(H19-W19+K19)/(F19-K19))</f>
        <v>-0.64722094625631599</v>
      </c>
      <c r="AR19" s="889">
        <f>IF(ISNUMBER((Datos!P19-Datos!Q19)/(Datos!R19-Datos!P19+Datos!Q19)),(Datos!P19-Datos!Q19)/(Datos!R19-Datos!P19+Datos!Q19)," - ")</f>
        <v>-3.0148297028627303E-2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3.9299420408505319</v>
      </c>
      <c r="F21" s="252">
        <f>IF(ISNUMBER(STDEV(F8:F18)),STDEV(F8:F18),"-")</f>
        <v>3544.3533025551128</v>
      </c>
      <c r="G21" s="253">
        <f>IF(ISNUMBER(STDEV(G8:G18)),STDEV(G8:G18),"-")</f>
        <v>3401.8752475656715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2148.8645141097195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474.58523244738961</v>
      </c>
      <c r="AJ21" s="252">
        <f t="shared" si="18"/>
        <v>0</v>
      </c>
      <c r="AK21" s="254">
        <f t="shared" si="18"/>
        <v>0</v>
      </c>
      <c r="AL21" s="249">
        <f t="shared" si="18"/>
        <v>0.16632006893305973</v>
      </c>
      <c r="AM21" s="250">
        <f t="shared" si="18"/>
        <v>5.5070320148738938</v>
      </c>
      <c r="AN21" s="250">
        <f t="shared" si="18"/>
        <v>0.1276668560638638</v>
      </c>
      <c r="AO21" s="251">
        <f t="shared" si="18"/>
        <v>1.8386738835356042</v>
      </c>
      <c r="AP21" s="291" t="str">
        <f t="shared" si="18"/>
        <v>-</v>
      </c>
      <c r="AQ21" s="292">
        <f t="shared" si="18"/>
        <v>0.34535736205499695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qW+frAR+PrU5p1Inr6BvXr1b4KuhFdC5hSXdRgiEp/uyo558I8e+g/MF2pZpPwxNwgRiKuv/rsjTf+1HlHIw==" saltValue="TCEsYU8TwrnLFzNBXgFcg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SABADELL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0.22098765432098766</v>
      </c>
      <c r="I9" s="350">
        <f>IF(ISNUMBER((Tasas!C9-Datos!BE9)/Datos!BE9),(Tasas!C9-Datos!BE9)/Datos!BE9," - ")</f>
        <v>-4.5226729018499875E-2</v>
      </c>
      <c r="J9" s="349">
        <f>IF(ISNUMBER((Tasas!D9-Datos!BF9)/Datos!BF9),(Tasas!D9-Datos!BF9)/Datos!BF9," - ")</f>
        <v>-0.53265895714681588</v>
      </c>
      <c r="K9" s="351">
        <f>IF(ISNUMBER((Tasas!E9-Datos!BG9)/Datos!BG9),(Tasas!E9-Datos!BG9)/Datos!BG9," - ")</f>
        <v>-3.5249793326778543E-2</v>
      </c>
      <c r="M9" t="e">
        <f>IF(Monitorios="SI",Datos!CE9,0)</f>
        <v>#REF!</v>
      </c>
      <c r="N9" t="e">
        <f>IF(Monitorios="SI",Datos!CF9,0)</f>
        <v>#REF!</v>
      </c>
      <c r="O9" t="e">
        <f>IF(Monitorios="SI",Datos!CG9,0)</f>
        <v>#REF!</v>
      </c>
      <c r="P9" t="e">
        <f>IF(Monitorios="SI",Datos!CH9,0)</f>
        <v>#REF!</v>
      </c>
      <c r="Q9">
        <f>IF(J_V="SI",0,Datos!AG9)</f>
        <v>453</v>
      </c>
      <c r="R9">
        <f>IF(J_V="SI",0,Datos!AH9)</f>
        <v>186</v>
      </c>
      <c r="S9">
        <f>IF(J_V="SI",0,Datos!AI9)</f>
        <v>278</v>
      </c>
      <c r="T9">
        <f>IF(J_V="SI",0,Datos!AJ9)</f>
        <v>361</v>
      </c>
    </row>
    <row r="10" spans="2:20" ht="14.25">
      <c r="B10" s="275" t="s">
        <v>246</v>
      </c>
      <c r="C10" s="7" t="str">
        <f>Datos!A10</f>
        <v>Jdos. Violencia contra la mujer</v>
      </c>
      <c r="D10" s="352">
        <f>IF(ISNUMBER((Datos!I10-Datos!S10)/Datos!S10),(Datos!I10-Datos!S10)/Datos!S10," - ")</f>
        <v>0.45185185185185184</v>
      </c>
      <c r="E10" s="348">
        <f>IF(ISNUMBER((Datos!J10-Datos!T10)/Datos!T10),(Datos!J10-Datos!T10)/Datos!T10," - ")</f>
        <v>-0.15254237288135594</v>
      </c>
      <c r="F10" s="348">
        <f>IF(ISNUMBER((Datos!K10-Datos!U10)/Datos!U10),(Datos!K10-Datos!U10)/Datos!U10," - ")</f>
        <v>-0.38181818181818183</v>
      </c>
      <c r="G10" s="349">
        <f>IF(ISNUMBER((Datos!L10-Datos!V10)/Datos!V10),(Datos!L10-Datos!V10)/Datos!V10," - ")</f>
        <v>0.52517985611510787</v>
      </c>
      <c r="H10" s="230">
        <f>IF(ISNUMBER((Datos!M10-Datos!W10)/Datos!W10),(Datos!M10-Datos!W10)/Datos!W10," - ")</f>
        <v>-0.27272727272727271</v>
      </c>
      <c r="I10" s="350">
        <f>IF(ISNUMBER((Tasas!C10-Datos!BE10)/Datos!BE10),(Tasas!C10-Datos!BE10)/Datos!BE10," - ")</f>
        <v>1.467202708421498</v>
      </c>
      <c r="J10" s="349">
        <f>IF(ISNUMBER((Tasas!D10-Datos!BF10)/Datos!BF10),(Tasas!D10-Datos!BF10)/Datos!BF10," - ")</f>
        <v>0.17647058823529405</v>
      </c>
      <c r="K10" s="351">
        <f>IF(ISNUMBER((Tasas!E10-Datos!BG10)/Datos!BG10),(Tasas!E10-Datos!BG10)/Datos!BG10," - ")</f>
        <v>1.0512431776834446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-4.4217687074829932E-2</v>
      </c>
      <c r="I11" s="350">
        <f>IF(ISNUMBER((Tasas!C11-Datos!BE11)/Datos!BE11),(Tasas!C11-Datos!BE11)/Datos!BE11," - ")</f>
        <v>-3.446799541568419E-2</v>
      </c>
      <c r="J11" s="349">
        <f>IF(ISNUMBER((Tasas!D11-Datos!BF11)/Datos!BF11),(Tasas!D11-Datos!BF11)/Datos!BF11," - ")</f>
        <v>-0.39491419554211321</v>
      </c>
      <c r="K11" s="351">
        <f>IF(ISNUMBER((Tasas!E11-Datos!BG11)/Datos!BG11),(Tasas!E11-Datos!BG11)/Datos!BG11," - ")</f>
        <v>-4.9324635728719951E-2</v>
      </c>
      <c r="M11" t="e">
        <f>IF(Monitorios="SI",Datos!CE11,0)</f>
        <v>#REF!</v>
      </c>
      <c r="N11" t="e">
        <f>IF(Monitorios="SI",Datos!CF11,0)</f>
        <v>#REF!</v>
      </c>
      <c r="O11" t="e">
        <f>IF(Monitorios="SI",Datos!CG11,0)</f>
        <v>#REF!</v>
      </c>
      <c r="P11" t="e">
        <f>IF(Monitorios="SI",Datos!CH11,0)</f>
        <v>#REF!</v>
      </c>
      <c r="Q11">
        <f>IF(J_V="SI",0,Datos!AG11)</f>
        <v>48</v>
      </c>
      <c r="R11">
        <f>IF(J_V="SI",0,Datos!AH11)</f>
        <v>329</v>
      </c>
      <c r="S11">
        <f>IF(J_V="SI",0,Datos!AI11)</f>
        <v>293</v>
      </c>
      <c r="T11">
        <f>IF(J_V="SI",0,Datos!AJ11)</f>
        <v>84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0.14209591474245115</v>
      </c>
      <c r="I13" s="357">
        <f>IF(ISNUMBER((Tasas!C13-Datos!BE13)/Datos!BE13),(Tasas!C13-Datos!BE13)/Datos!BE13," - ")</f>
        <v>-3.0828944082900298E-2</v>
      </c>
      <c r="J13" s="355">
        <f>IF(ISNUMBER((Tasas!D13-Datos!BF13)/Datos!BF13),(Tasas!D13-Datos!BF13)/Datos!BF13," - ")</f>
        <v>-0.5047912942358832</v>
      </c>
      <c r="K13" s="358">
        <f>IF(ISNUMBER((Tasas!E13-Datos!BG13)/Datos!BG13),(Tasas!E13-Datos!BG13)/Datos!BG13," - ")</f>
        <v>-2.6171561415261783E-2</v>
      </c>
      <c r="M13" t="e">
        <f>IF(Monitorios="SI",Datos!CE13,0)</f>
        <v>#REF!</v>
      </c>
      <c r="N13" t="e">
        <f>IF(Monitorios="SI",Datos!CF13,0)</f>
        <v>#REF!</v>
      </c>
      <c r="O13" t="e">
        <f>IF(Monitorios="SI",Datos!CG13,0)</f>
        <v>#REF!</v>
      </c>
      <c r="P13" t="e">
        <f>IF(Monitorios="SI",Datos!CH13,0)</f>
        <v>#REF!</v>
      </c>
      <c r="Q13">
        <f>IF(J_V="SI",0,Datos!AG13)</f>
        <v>501</v>
      </c>
      <c r="R13">
        <f>IF(J_V="SI",0,Datos!AH13)</f>
        <v>515</v>
      </c>
      <c r="S13">
        <f>IF(J_V="SI",0,Datos!AI13)</f>
        <v>571</v>
      </c>
      <c r="T13">
        <f>IF(J_V="SI",0,Datos!AJ13)</f>
        <v>445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-1.111287505953326E-3</v>
      </c>
      <c r="E15" s="348">
        <f>IF(ISNUMBER(
   IF(D_I="SI",(Datos!J15-Datos!T15)/Datos!T15,(Datos!J15+Datos!AD15-(Datos!T15+Datos!AL15))/(Datos!T15+Datos!AL15))
     ),IF(D_I="SI",(Datos!J15-Datos!T15)/Datos!T15,(Datos!J15+Datos!AD15-(Datos!T15+Datos!AL15))/(Datos!T15+Datos!AL15))," - ")</f>
        <v>0.12784313725490196</v>
      </c>
      <c r="F15" s="348">
        <f>IF(ISNUMBER(
   IF(D_I="SI",(Datos!K15-Datos!U15)/Datos!U15,(Datos!K15+Datos!AE15-(Datos!U15+Datos!AM15))/(Datos!U15+Datos!AM15))
     ),IF(D_I="SI",(Datos!K15-Datos!U15)/Datos!U15,(Datos!K15+Datos!AE15-(Datos!U15+Datos!AM15))/(Datos!U15+Datos!AM15))," - ")</f>
        <v>4.1845493562231759E-2</v>
      </c>
      <c r="G15" s="349">
        <f>IF(ISNUMBER(
   IF(D_I="SI",(Datos!L15-Datos!V15)/Datos!V15,(Datos!L15+Datos!AF15-(Datos!V15+Datos!AN15))/(Datos!V15+Datos!AN15))
     ),IF(D_I="SI",(Datos!L15-Datos!V15)/Datos!V15,(Datos!L15+Datos!AF15-(Datos!V15+Datos!AN15))/(Datos!V15+Datos!AN15))," - ")</f>
        <v>5.0139708165166094E-2</v>
      </c>
      <c r="H15" s="230">
        <f>IF(ISNUMBER((Datos!M15-Datos!W15)/Datos!W15),(Datos!M15-Datos!W15)/Datos!W15," - ")</f>
        <v>-3.0864197530864196E-2</v>
      </c>
      <c r="I15" s="350">
        <f>IF(ISNUMBER((Tasas!C15-Datos!BE15)/Datos!BE15),(Tasas!C15-Datos!BE15)/Datos!BE15," - ")</f>
        <v>7.9610793099224829E-3</v>
      </c>
      <c r="J15" s="349">
        <f>IF(ISNUMBER((Tasas!D15-Datos!BF15)/Datos!BF15),(Tasas!D15-Datos!BF15)/Datos!BF15," - ")</f>
        <v>-6.9789322449809954E-2</v>
      </c>
      <c r="K15" s="351">
        <f>IF(ISNUMBER((Tasas!E15-Datos!BG15)/Datos!BG15),(Tasas!E15-Datos!BG15)/Datos!BG15," - ")</f>
        <v>5.5326312123081629E-3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0.15702479338842976</v>
      </c>
      <c r="E17" s="348">
        <f>IF(ISNUMBER(
   IF(D_I="SI",(Datos!J17-Datos!T17)/Datos!T17,(Datos!J17+Datos!AD17-(Datos!T17+Datos!AL17))/(Datos!T17+Datos!AL17))
     ),IF(D_I="SI",(Datos!J17-Datos!T17)/Datos!T17,(Datos!J17+Datos!AD17-(Datos!T17+Datos!AL17))/(Datos!T17+Datos!AL17))," - ")</f>
        <v>0.11846689895470383</v>
      </c>
      <c r="F17" s="348">
        <f>IF(ISNUMBER(
   IF(D_I="SI",(Datos!K17-Datos!U17)/Datos!U17,(Datos!K17+Datos!AE17-(Datos!U17+Datos!AM17))/(Datos!U17+Datos!AM17))
     ),IF(D_I="SI",(Datos!K17-Datos!U17)/Datos!U17,(Datos!K17+Datos!AE17-(Datos!U17+Datos!AM17))/(Datos!U17+Datos!AM17))," - ")</f>
        <v>2.6578073089700997E-2</v>
      </c>
      <c r="G17" s="349">
        <f>IF(ISNUMBER(
   IF(D_I="SI",(Datos!L17-Datos!V17)/Datos!V17,(Datos!L17+Datos!AF17-(Datos!V17+Datos!AN17))/(Datos!V17+Datos!AN17))
     ),IF(D_I="SI",(Datos!L17-Datos!V17)/Datos!V17,(Datos!L17+Datos!AF17-(Datos!V17+Datos!AN17))/(Datos!V17+Datos!AN17))," - ")</f>
        <v>0.2807017543859649</v>
      </c>
      <c r="H17" s="230">
        <f>IF(ISNUMBER((Datos!M17-Datos!W17)/Datos!W17),(Datos!M17-Datos!W17)/Datos!W17," - ")</f>
        <v>0.625</v>
      </c>
      <c r="I17" s="350">
        <f>IF(ISNUMBER((Tasas!C17-Datos!BE17)/Datos!BE17),(Tasas!C17-Datos!BE17)/Datos!BE17," - ")</f>
        <v>0.24754442741157104</v>
      </c>
      <c r="J17" s="349">
        <f>IF(ISNUMBER((Tasas!D17-Datos!BF17)/Datos!BF17),(Tasas!D17-Datos!BF17)/Datos!BF17," - ")</f>
        <v>0.58292880258899682</v>
      </c>
      <c r="K17" s="351">
        <f>IF(ISNUMBER((Tasas!E17-Datos!BG17)/Datos!BG17),(Tasas!E17-Datos!BG17)/Datos!BG17," - ")</f>
        <v>0.10669211616226501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4.7393364928909956E-3</v>
      </c>
      <c r="E18" s="354">
        <f>IF(ISNUMBER(
   IF(D_I="SI",(Datos!J18-Datos!T18)/Datos!T18,(Datos!J18+Datos!AD18-(Datos!T18+Datos!AL18))/(Datos!T18+Datos!AL18))
     ),IF(D_I="SI",(Datos!J18-Datos!T18)/Datos!T18,(Datos!J18+Datos!AD18-(Datos!T18+Datos!AL18))/(Datos!T18+Datos!AL18))," - ")</f>
        <v>0.12718871595330739</v>
      </c>
      <c r="F18" s="354">
        <f>IF(ISNUMBER(
   IF(D_I="SI",(Datos!K18-Datos!U18)/Datos!U18,(Datos!K18+Datos!AE18-(Datos!U18+Datos!AM18))/(Datos!U18+Datos!AM18))
     ),IF(D_I="SI",(Datos!K18-Datos!U18)/Datos!U18,(Datos!K18+Datos!AE18-(Datos!U18+Datos!AM18))/(Datos!U18+Datos!AM18))," - ")</f>
        <v>4.070488955075701E-2</v>
      </c>
      <c r="G18" s="355">
        <f>IF(ISNUMBER(
   IF(D_I="SI",(Datos!L18-Datos!V18)/Datos!V18,(Datos!L18+Datos!AF18-(Datos!V18+Datos!AN18))/(Datos!V18+Datos!AN18))
     ),IF(D_I="SI",(Datos!L18-Datos!V18)/Datos!V18,(Datos!L18+Datos!AF18-(Datos!V18+Datos!AN18))/(Datos!V18+Datos!AN18))," - ")</f>
        <v>5.8020989505247374E-2</v>
      </c>
      <c r="H18" s="356">
        <f>IF(ISNUMBER((Datos!M18-Datos!W18)/Datos!W18),(Datos!M18-Datos!W18)/Datos!W18," - ")</f>
        <v>0</v>
      </c>
      <c r="I18" s="357">
        <f>IF(ISNUMBER((Tasas!C18-Datos!BE18)/Datos!BE18),(Tasas!C18-Datos!BE18)/Datos!BE18," - ")</f>
        <v>1.6638818677949377E-2</v>
      </c>
      <c r="J18" s="355">
        <f>IF(ISNUMBER((Tasas!D18-Datos!BF18)/Datos!BF18),(Tasas!D18-Datos!BF18)/Datos!BF18," - ")</f>
        <v>-3.9112807059384774E-2</v>
      </c>
      <c r="K18" s="358">
        <f>IF(ISNUMBER((Tasas!E18-Datos!BG18)/Datos!BG18),(Tasas!E18-Datos!BG18)/Datos!BG18," - ")</f>
        <v>1.0857295718152285E-2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-3.6515912897822446E-2</v>
      </c>
      <c r="E19" s="363">
        <f>IF(ISNUMBER(
   IF(J_V="SI",(Datos!J19-Datos!T19)/Datos!T19,(Datos!J19+Datos!Z19-(Datos!T19+Datos!AH19))/(Datos!T19+Datos!AH19))
     ),IF(J_V="SI",(Datos!J19-Datos!T19)/Datos!T19,(Datos!J19+Datos!Z19-(Datos!T19+Datos!AH19))/(Datos!T19+Datos!AH19))," - ")</f>
        <v>0.2576846931332708</v>
      </c>
      <c r="F19" s="363">
        <f>IF(ISNUMBER(
   IF(J_V="SI",(Datos!K19-Datos!U19)/Datos!U19,(Datos!K19+Datos!AA19-(Datos!U19+Datos!AI19))/(Datos!U19+Datos!AI19))
     ),IF(J_V="SI",(Datos!K19-Datos!U19)/Datos!U19,(Datos!K19+Datos!AA19-(Datos!U19+Datos!AI19))/(Datos!U19+Datos!AI19))," - ")</f>
        <v>5.9972834604534529E-2</v>
      </c>
      <c r="G19" s="364">
        <f>IF(ISNUMBER(
   IF(J_V="SI",(Datos!L19-Datos!V19)/Datos!V19,(Datos!L19+Datos!AB19-(Datos!V19+Datos!AJ19))/(Datos!V19+Datos!AJ19))
     ),IF(J_V="SI",(Datos!L19-Datos!V19)/Datos!V19,(Datos!L19+Datos!AB19-(Datos!V19+Datos!AJ19))/(Datos!V19+Datos!AJ19))," - ")</f>
        <v>4.5658087465997067E-2</v>
      </c>
      <c r="H19" s="365">
        <f>IF(ISNUMBER((Datos!M19-Datos!W19)/Datos!W19),(Datos!M19-Datos!W19)/Datos!W19," - ")</f>
        <v>9.7799511002444994E-2</v>
      </c>
      <c r="I19" s="362">
        <f>IF(ISNUMBER((Tasas!C19-Datos!BE19)/Datos!BE19),(Tasas!C19-Datos!BE19)/Datos!BE19," - ")</f>
        <v>-1.3504824530600326E-2</v>
      </c>
      <c r="J19" s="363">
        <f>IF(ISNUMBER((Tasas!D19-Datos!BF19)/Datos!BF19),(Tasas!D19-Datos!BF19)/Datos!BF19," - ")</f>
        <v>-0.42131726576660283</v>
      </c>
      <c r="K19" s="364">
        <f>IF(ISNUMBER((Tasas!E19-Datos!BG19)/Datos!BG19),(Tasas!E19-Datos!BG19)/Datos!BG19," - ")</f>
        <v>-1.1461572529740378E-2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0.21217923077620471</v>
      </c>
      <c r="E21" s="278">
        <f t="shared" si="1"/>
        <v>0.13858690233320706</v>
      </c>
      <c r="F21" s="278">
        <f t="shared" si="1"/>
        <v>0.20921243564604111</v>
      </c>
      <c r="G21" s="279">
        <f t="shared" si="1"/>
        <v>0.22481062138359589</v>
      </c>
      <c r="H21" s="285">
        <f t="shared" si="1"/>
        <v>0.28236362063859788</v>
      </c>
      <c r="I21" s="277">
        <f t="shared" si="1"/>
        <v>0.55369618906042639</v>
      </c>
      <c r="J21" s="278">
        <f t="shared" si="1"/>
        <v>0.40507496351307815</v>
      </c>
      <c r="K21" s="279">
        <f t="shared" si="1"/>
        <v>0.39987586075693188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8BZph/A5j7VBhHdE8hzSKbg6zFDKhjuupurYqjY0xCiUq55FN4ZR7rrJJnHz3D/KAVRJVq9vLXf0BkdTvnpGg==" saltValue="rco0vtZV51PkgUDCimDrj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